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D2KiKlZj38UIVlljS7/wBNCNNknteWv51LIDPbih/PEog+Up6TJnmOGIpoByu62VZ90sb49vM8fjnHL/UgGLiQ==" workbookSaltValue="6fchQbYpp+zytdIyigbv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D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AL10" i="11"/>
  <c r="N10" i="11"/>
  <c r="N9" i="11"/>
  <c r="T10" i="21"/>
  <c r="AO16" i="11"/>
  <c r="F10" i="10"/>
  <c r="D11" i="2"/>
  <c r="N11" i="11"/>
  <c r="ES19" i="8"/>
  <c r="C18" i="7"/>
  <c r="S19" i="13"/>
  <c r="AG19" i="19"/>
  <c r="F9" i="11"/>
  <c r="CI19" i="8"/>
  <c r="AE19" i="8"/>
  <c r="EP19" i="8"/>
  <c r="ER19" i="13"/>
  <c r="AL13" i="16"/>
  <c r="S13" i="16"/>
  <c r="H18" i="16"/>
  <c r="P13" i="16"/>
  <c r="AN13" i="20"/>
  <c r="Z13" i="17"/>
  <c r="C11" i="6"/>
  <c r="I11" i="12" s="1"/>
  <c r="M13" i="2"/>
  <c r="N13" i="2"/>
  <c r="AO9" i="11"/>
  <c r="E11" i="6"/>
  <c r="AC10" i="11"/>
  <c r="H13" i="12"/>
  <c r="T19" i="8"/>
  <c r="T13" i="12"/>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U16" i="11"/>
  <c r="AZ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E20" i="20"/>
  <c r="AQ20" i="20"/>
  <c r="P20" i="20"/>
  <c r="L20" i="20"/>
  <c r="AB20" i="20"/>
  <c r="G13" i="14"/>
  <c r="AA20" i="20"/>
  <c r="U10" i="11"/>
  <c r="AJ19" i="8" l="1"/>
  <c r="F17" i="17"/>
  <c r="AQ17" i="17" s="1"/>
  <c r="AW18" i="21"/>
  <c r="BG16" i="8"/>
  <c r="BG12" i="8"/>
  <c r="H12" i="7"/>
  <c r="AB19" i="8"/>
  <c r="Z19" i="8"/>
  <c r="BG10" i="8"/>
  <c r="C19" i="3"/>
  <c r="F9" i="2"/>
  <c r="AL11" i="11"/>
  <c r="B9" i="6"/>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Y13" i="11"/>
  <c r="D19" i="5"/>
  <c r="B19" i="7"/>
  <c r="G19" i="7"/>
  <c r="F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K20" i="17"/>
  <c r="AT20" i="20"/>
  <c r="AW20" i="16"/>
  <c r="AP20" i="21"/>
  <c r="AU20" i="11"/>
  <c r="BF20" i="16"/>
  <c r="AA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O12" i="11"/>
  <c r="I20" i="12"/>
  <c r="BM20" i="16"/>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<sst xmlns="http://schemas.openxmlformats.org/spreadsheetml/2006/main" count="2102" uniqueCount="918">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</sst>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IpzfJHuFCSPXi/AJfcKtVQyclqkHwIdj9fRajre/esDE2sS37Ihz+rg+X76W0jlB0A1zyz5KRqB6NZQ56jugA==" saltValue="8FAkYJMHk2mcXBbFowKw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27</v>
      </c>
      <c r="F10" s="225">
        <f>IF(ISNUMBER(Datos!K10),Datos!K10," - ")</f>
        <v>22</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0.22727272727272727</v>
      </c>
      <c r="L10" s="1024">
        <f>IF(ISNUMBER(NºAsuntos!I10/NºAsuntos!G10),(NºAsuntos!I10/NºAsuntos!G10)*11," - ")</f>
        <v>13.5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84.383152173913047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27</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1340</v>
      </c>
      <c r="D16" s="224">
        <f>IF(ISNUMBER(IF(D_I="SI",Datos!I16,Datos!I16+Datos!AC16)),IF(D_I="SI",Datos!I16,Datos!I16+Datos!AC16)," - ")</f>
        <v>1340</v>
      </c>
      <c r="E16" s="225">
        <f>IF(ISNUMBER(IF(D_I="SI",Datos!J16,Datos!J16+Datos!AD16)),IF(D_I="SI",Datos!J16,Datos!J16+Datos!AD16)," - ")</f>
        <v>737</v>
      </c>
      <c r="F16" s="225">
        <f>IF(ISNUMBER(IF(D_I="SI",Datos!K16,Datos!K16+Datos!AE16)),IF(D_I="SI",Datos!K16,Datos!K16+Datos!AE16)," - ")</f>
        <v>775</v>
      </c>
      <c r="G16" s="1033" t="str">
        <f>IF(Datos!E16&lt;&gt;"",Datos!E16,Datos!D16)</f>
        <v>04</v>
      </c>
      <c r="H16" s="226">
        <f>IF(ISNUMBER(IF(D_I="SI",Datos!L16,Datos!L16+Datos!AF16)),IF(D_I="SI",Datos!L16,Datos!L16+Datos!AF16)," - ")</f>
        <v>1302</v>
      </c>
      <c r="I16" s="1043" t="str">
        <f>IF(ISNUMBER(Datos!AS16/Datos!BM16),Datos!AS16/Datos!BM16," - ")</f>
        <v xml:space="preserve"> - </v>
      </c>
      <c r="J16" s="1044">
        <f>IF(ISNUMBER(Datos!BY16/Datos!CN16),Datos!BY16/Datos!CN16," - ")</f>
        <v>0</v>
      </c>
      <c r="K16" s="229">
        <f t="shared" si="3"/>
        <v>-2.8358208955223882E-2</v>
      </c>
      <c r="L16" s="1024">
        <f>IF(ISNUMBER(NºAsuntos!I16/NºAsuntos!G16),(NºAsuntos!I16/NºAsuntos!G16)*11," - ")</f>
        <v>18.48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110</v>
      </c>
      <c r="E17" s="225">
        <f>IF(ISNUMBER(IF(D_I="SI",Datos!J17,Datos!J17+Datos!AD17)),IF(D_I="SI",Datos!J17,Datos!J17+Datos!AD17)," - ")</f>
        <v>52</v>
      </c>
      <c r="F17" s="225">
        <f>IF(ISNUMBER(IF(D_I="SI",Datos!K17,Datos!K17+Datos!AE17)),IF(D_I="SI",Datos!K17,Datos!K17+Datos!AE17)," - ")</f>
        <v>49</v>
      </c>
      <c r="G17" s="1033" t="str">
        <f>IF(Datos!E17&lt;&gt;"",Datos!E17,Datos!D17)</f>
        <v>37</v>
      </c>
      <c r="H17" s="226">
        <f>IF(ISNUMBER(IF(D_I="SI",Datos!L17,Datos!L17+Datos!AF17)),IF(D_I="SI",Datos!L17,Datos!L17+Datos!AF17)," - ")</f>
        <v>56</v>
      </c>
      <c r="I17" s="1043" t="str">
        <f>IF(ISNUMBER(Datos!AS17/Datos!BM17),Datos!AS17/Datos!BM17," - ")</f>
        <v xml:space="preserve"> - </v>
      </c>
      <c r="J17" s="1044" t="str">
        <f>IF(ISNUMBER((Datos!BY17+Datos!BZ17)/Datos!CN17),(Datos!BY17+Datos!BZ17)/Datos!CN17," - ")</f>
        <v xml:space="preserve"> - </v>
      </c>
      <c r="K17" s="229">
        <f t="shared" si="3"/>
        <v>5.6603773584905662E-2</v>
      </c>
      <c r="L17" s="1024">
        <f>IF(ISNUMBER(NºAsuntos!I17/NºAsuntos!G17),(NºAsuntos!I17/NºAsuntos!G17)*11," - ")</f>
        <v>12.571428571428571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1393</v>
      </c>
      <c r="D18" s="1048">
        <f>SUBTOTAL(9,D15:D17)</f>
        <v>1450</v>
      </c>
      <c r="E18" s="1049">
        <f>SUBTOTAL(9,E15:E17)</f>
        <v>789</v>
      </c>
      <c r="F18" s="1049">
        <f>SUBTOTAL(9,F15:F17)</f>
        <v>824</v>
      </c>
      <c r="G18" s="1051" t="str">
        <f ca="1">INDIRECT(CONCATENATE("G",ROW()-1))</f>
        <v>37</v>
      </c>
      <c r="H18" s="1052">
        <f ca="1">SUMIF(G$14:G17,G18,H$14:H17)</f>
        <v>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1415</v>
      </c>
      <c r="D19" s="1070">
        <f>SUBTOTAL(9,D9:D18)</f>
        <v>1472</v>
      </c>
      <c r="E19" s="1071">
        <f>SUBTOTAL(9,E9:E18)</f>
        <v>816</v>
      </c>
      <c r="F19" s="1071">
        <f>SUBTOTAL(9,F9:F18)</f>
        <v>846</v>
      </c>
      <c r="G19" s="1072"/>
      <c r="H19" s="1073">
        <f ca="1">SUMIF(B9:B18,"TOTAL",H9:H18)</f>
        <v>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Ymnj6tua43DvebEWxGvrGIfknYqj6unIwsqnM0wL9FHqtfGcuGuL4AvhJUViVrZB3+vM2DkyAueat8QzGi2vg==" saltValue="QHrf77yHegUwxJMK/d/5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OJF7dc9ma3SwbQAxH5mIKqtP4dDfBoG71nRiaZYuNt2zCGWnEJKCobMYtgqgCxIDqnFzVepFDc0qjr77EE1lA==" saltValue="QGnB7cd/ntDNd0hpmAdp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27</v>
      </c>
      <c r="K10" s="180">
        <v>22</v>
      </c>
      <c r="L10" s="180">
        <v>27</v>
      </c>
      <c r="M10" s="180">
        <v>13</v>
      </c>
      <c r="N10" s="180">
        <v>4</v>
      </c>
      <c r="O10" s="180">
        <v>2</v>
      </c>
      <c r="P10" s="180">
        <v>0</v>
      </c>
      <c r="Q10" s="180">
        <v>0</v>
      </c>
      <c r="R10" s="180">
        <v>2</v>
      </c>
      <c r="S10" s="180">
        <v>26</v>
      </c>
      <c r="T10" s="180">
        <v>0</v>
      </c>
      <c r="U10" s="180">
        <v>0</v>
      </c>
      <c r="V10" s="180">
        <v>26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0</v>
      </c>
      <c r="BA10" s="129">
        <f t="shared" si="0"/>
        <v>0</v>
      </c>
      <c r="BB10" s="129">
        <f t="shared" si="0"/>
        <v>26</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2663</v>
      </c>
      <c r="J12" s="182">
        <v>446</v>
      </c>
      <c r="K12" s="182">
        <v>336</v>
      </c>
      <c r="L12" s="182">
        <v>2773</v>
      </c>
      <c r="M12" s="182">
        <v>92</v>
      </c>
      <c r="N12" s="182">
        <v>174</v>
      </c>
      <c r="O12" s="180">
        <v>145</v>
      </c>
      <c r="P12" s="182">
        <v>117</v>
      </c>
      <c r="Q12" s="182">
        <v>407</v>
      </c>
      <c r="R12" s="182">
        <v>1925</v>
      </c>
      <c r="S12" s="182">
        <v>2023</v>
      </c>
      <c r="T12" s="182">
        <v>601</v>
      </c>
      <c r="U12" s="182">
        <v>369</v>
      </c>
      <c r="V12" s="182">
        <v>2255</v>
      </c>
      <c r="W12" s="182">
        <v>105</v>
      </c>
      <c r="X12" s="188">
        <v>176</v>
      </c>
      <c r="Y12" s="190">
        <v>40</v>
      </c>
      <c r="Z12" s="180">
        <v>42</v>
      </c>
      <c r="AA12" s="180">
        <v>32</v>
      </c>
      <c r="AB12" s="180">
        <v>50</v>
      </c>
      <c r="AC12" s="182">
        <v>0</v>
      </c>
      <c r="AD12" s="182">
        <v>0</v>
      </c>
      <c r="AE12" s="182">
        <v>0</v>
      </c>
      <c r="AF12" s="188">
        <v>0</v>
      </c>
      <c r="AG12" s="201">
        <v>27</v>
      </c>
      <c r="AH12" s="182">
        <v>45</v>
      </c>
      <c r="AI12" s="182">
        <v>33</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2050</v>
      </c>
      <c r="AZ12" s="127">
        <f t="shared" si="1"/>
        <v>646</v>
      </c>
      <c r="BA12" s="127">
        <f t="shared" si="1"/>
        <v>402</v>
      </c>
      <c r="BB12" s="127">
        <f t="shared" si="1"/>
        <v>2294</v>
      </c>
      <c r="BC12" s="125">
        <f>IF(ISNUMBER(X12),X12," - ")</f>
        <v>176</v>
      </c>
      <c r="BD12" s="126">
        <f t="shared" si="2"/>
        <v>0.62229102167182659</v>
      </c>
      <c r="BE12" s="127">
        <f t="shared" si="3"/>
        <v>5.7064676616915424</v>
      </c>
      <c r="BF12" s="127">
        <f t="shared" si="4"/>
        <v>0.43781094527363185</v>
      </c>
      <c r="BG12" s="195">
        <f t="shared" si="5"/>
        <v>6.7064676616915424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2685</v>
      </c>
      <c r="J13" s="183">
        <f t="shared" si="6"/>
        <v>473</v>
      </c>
      <c r="K13" s="183">
        <f t="shared" si="6"/>
        <v>358</v>
      </c>
      <c r="L13" s="183">
        <f t="shared" si="6"/>
        <v>2800</v>
      </c>
      <c r="M13" s="183">
        <f t="shared" si="6"/>
        <v>105</v>
      </c>
      <c r="N13" s="183">
        <f t="shared" si="6"/>
        <v>178</v>
      </c>
      <c r="O13" s="183">
        <f t="shared" si="6"/>
        <v>147</v>
      </c>
      <c r="P13" s="183">
        <f t="shared" si="6"/>
        <v>117</v>
      </c>
      <c r="Q13" s="183">
        <f t="shared" si="6"/>
        <v>407</v>
      </c>
      <c r="R13" s="183">
        <f t="shared" si="6"/>
        <v>1927</v>
      </c>
      <c r="S13" s="183">
        <f t="shared" si="6"/>
        <v>2049</v>
      </c>
      <c r="T13" s="183">
        <f t="shared" si="6"/>
        <v>601</v>
      </c>
      <c r="U13" s="183">
        <f t="shared" si="6"/>
        <v>369</v>
      </c>
      <c r="V13" s="183">
        <f t="shared" si="6"/>
        <v>2281</v>
      </c>
      <c r="W13" s="183">
        <f t="shared" si="6"/>
        <v>105</v>
      </c>
      <c r="X13" s="183">
        <f t="shared" si="6"/>
        <v>176</v>
      </c>
      <c r="Y13" s="183">
        <f t="shared" si="6"/>
        <v>40</v>
      </c>
      <c r="Z13" s="183">
        <f t="shared" si="6"/>
        <v>42</v>
      </c>
      <c r="AA13" s="183">
        <f t="shared" si="6"/>
        <v>32</v>
      </c>
      <c r="AB13" s="183">
        <f t="shared" si="6"/>
        <v>50</v>
      </c>
      <c r="AC13" s="183">
        <f t="shared" si="6"/>
        <v>0</v>
      </c>
      <c r="AD13" s="183">
        <f t="shared" si="6"/>
        <v>0</v>
      </c>
      <c r="AE13" s="183">
        <f t="shared" si="6"/>
        <v>0</v>
      </c>
      <c r="AF13" s="183">
        <f>SUBTOTAL(9,AF9:AF12)</f>
        <v>0</v>
      </c>
      <c r="AG13" s="183">
        <f t="shared" ref="AG13:AT13" si="7">SUBTOTAL(9,AG8:AG12)</f>
        <v>27</v>
      </c>
      <c r="AH13" s="183">
        <f t="shared" si="7"/>
        <v>45</v>
      </c>
      <c r="AI13" s="183">
        <f t="shared" si="7"/>
        <v>33</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2076</v>
      </c>
      <c r="AZ13" s="183">
        <f>SUBTOTAL(9,AZ8:AZ12)</f>
        <v>646</v>
      </c>
      <c r="BA13" s="183">
        <f>SUBTOTAL(9,BA8:BA12)</f>
        <v>402</v>
      </c>
      <c r="BB13" s="183">
        <f>SUBTOTAL(9,BB8:BB12)</f>
        <v>2320</v>
      </c>
      <c r="BC13" s="183">
        <f>SUBTOTAL(9,BC8:BC12)</f>
        <v>176</v>
      </c>
      <c r="BD13" s="204">
        <f>IF(ISNUMBER(BA13/AZ13),BA13/AZ13," - ")</f>
        <v>0.62229102167182659</v>
      </c>
      <c r="BE13" s="205">
        <f>IF(ISNUMBER(BB13/BA13),BB13/BA13, " - ")</f>
        <v>5.7711442786069655</v>
      </c>
      <c r="BF13" s="205">
        <f>IF(ISNUMBER(BC13/BA13),BC13/BA13, " - ")</f>
        <v>0.43781094527363185</v>
      </c>
      <c r="BG13" s="206">
        <f>IF(ISNUMBER((AY13+AZ13)/BA13),(AY13+AZ13)/BA13," - ")</f>
        <v>6.7711442786069655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1340</v>
      </c>
      <c r="J16" s="182">
        <v>737</v>
      </c>
      <c r="K16" s="182">
        <v>775</v>
      </c>
      <c r="L16" s="182">
        <v>1302</v>
      </c>
      <c r="M16" s="182">
        <v>95</v>
      </c>
      <c r="N16" s="182">
        <v>475</v>
      </c>
      <c r="O16" s="180">
        <v>5</v>
      </c>
      <c r="P16" s="182">
        <v>4</v>
      </c>
      <c r="Q16" s="182">
        <v>20</v>
      </c>
      <c r="R16" s="182">
        <v>114</v>
      </c>
      <c r="S16" s="182">
        <v>1179</v>
      </c>
      <c r="T16" s="182">
        <v>669</v>
      </c>
      <c r="U16" s="182">
        <v>539</v>
      </c>
      <c r="V16" s="182">
        <v>1309</v>
      </c>
      <c r="W16" s="182">
        <v>82</v>
      </c>
      <c r="X16" s="188">
        <v>370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1179</v>
      </c>
      <c r="AZ16" s="127">
        <f t="shared" si="9"/>
        <v>669</v>
      </c>
      <c r="BA16" s="127">
        <f t="shared" si="9"/>
        <v>539</v>
      </c>
      <c r="BB16" s="127">
        <f t="shared" si="9"/>
        <v>1309</v>
      </c>
      <c r="BC16" s="125">
        <f>IF(ISNUMBER(W16),W16," - ")</f>
        <v>82</v>
      </c>
      <c r="BD16" s="126">
        <f t="shared" ref="BD16" si="11">IF(ISNUMBER(BA16/AZ16),BA16/AZ16," - ")</f>
        <v>0.8056801195814649</v>
      </c>
      <c r="BE16" s="127">
        <f t="shared" ref="BE16" si="12">IF(ISNUMBER(BB16/BA16),BB16/BA16, " - ")</f>
        <v>2.4285714285714284</v>
      </c>
      <c r="BF16" s="127">
        <f t="shared" ref="BF16" si="13">IF(ISNUMBER(BC16/BA16),BC16/BA16, " - ")</f>
        <v>0.15213358070500926</v>
      </c>
      <c r="BG16" s="195">
        <f t="shared" si="10"/>
        <v>3.4285714285714284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110</v>
      </c>
      <c r="J17" s="182">
        <v>52</v>
      </c>
      <c r="K17" s="182">
        <v>49</v>
      </c>
      <c r="L17" s="182">
        <v>56</v>
      </c>
      <c r="M17" s="182">
        <v>12</v>
      </c>
      <c r="N17" s="182">
        <v>25</v>
      </c>
      <c r="O17" s="182">
        <v>0</v>
      </c>
      <c r="P17" s="182">
        <v>0</v>
      </c>
      <c r="Q17" s="182">
        <v>0</v>
      </c>
      <c r="R17" s="182">
        <v>4</v>
      </c>
      <c r="S17" s="182">
        <v>107</v>
      </c>
      <c r="T17" s="182">
        <v>70</v>
      </c>
      <c r="U17" s="182">
        <v>79</v>
      </c>
      <c r="V17" s="182">
        <v>98</v>
      </c>
      <c r="W17" s="182">
        <v>15</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107</v>
      </c>
      <c r="AZ17" s="129">
        <f t="shared" si="14"/>
        <v>70</v>
      </c>
      <c r="BA17" s="129">
        <f t="shared" si="14"/>
        <v>79</v>
      </c>
      <c r="BB17" s="129">
        <f t="shared" si="14"/>
        <v>98</v>
      </c>
      <c r="BC17" s="125">
        <f>IF(ISNUMBER(W17),W17," - ")</f>
        <v>15</v>
      </c>
      <c r="BD17" s="126">
        <f>IF(ISNUMBER(BA17/AZ17),BA17/AZ17," - ")</f>
        <v>1.1285714285714286</v>
      </c>
      <c r="BE17" s="127">
        <f>IF(ISNUMBER(BB17/BA17),BB17/BA17, " - ")</f>
        <v>1.240506329113924</v>
      </c>
      <c r="BF17" s="127">
        <f>IF(ISNUMBER(BC17/BA17),BC17/BA17, " - ")</f>
        <v>0.189873417721519</v>
      </c>
      <c r="BG17" s="195">
        <f>IF(ISNUMBER((AY17+AZ17)/BA17),(AY17+AZ17)/BA17," - ")</f>
        <v>2.240506329113924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1450</v>
      </c>
      <c r="J18" s="183">
        <f t="shared" si="15"/>
        <v>789</v>
      </c>
      <c r="K18" s="183">
        <f t="shared" si="15"/>
        <v>824</v>
      </c>
      <c r="L18" s="183">
        <f t="shared" si="15"/>
        <v>1358</v>
      </c>
      <c r="M18" s="183">
        <f t="shared" si="15"/>
        <v>107</v>
      </c>
      <c r="N18" s="183">
        <f t="shared" si="15"/>
        <v>500</v>
      </c>
      <c r="O18" s="183">
        <f t="shared" si="15"/>
        <v>5</v>
      </c>
      <c r="P18" s="183">
        <f t="shared" si="15"/>
        <v>4</v>
      </c>
      <c r="Q18" s="183">
        <f t="shared" si="15"/>
        <v>20</v>
      </c>
      <c r="R18" s="183">
        <f t="shared" si="15"/>
        <v>118</v>
      </c>
      <c r="S18" s="183">
        <f t="shared" si="15"/>
        <v>1286</v>
      </c>
      <c r="T18" s="183">
        <f t="shared" si="15"/>
        <v>739</v>
      </c>
      <c r="U18" s="183">
        <f t="shared" si="15"/>
        <v>618</v>
      </c>
      <c r="V18" s="183">
        <f t="shared" si="15"/>
        <v>1407</v>
      </c>
      <c r="W18" s="183">
        <f t="shared" si="15"/>
        <v>97</v>
      </c>
      <c r="X18" s="183">
        <f t="shared" si="15"/>
        <v>399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1286</v>
      </c>
      <c r="AZ18" s="183">
        <f>SUBTOTAL(9,AZ14:AZ17)</f>
        <v>739</v>
      </c>
      <c r="BA18" s="183">
        <f>SUBTOTAL(9,BA14:BA17)</f>
        <v>618</v>
      </c>
      <c r="BB18" s="183">
        <f>SUBTOTAL(9,BB14:BB17)</f>
        <v>1407</v>
      </c>
      <c r="BC18" s="183">
        <f>SUBTOTAL(9,BC14:BC17)</f>
        <v>97</v>
      </c>
      <c r="BD18" s="204">
        <f>IF(ISNUMBER(BA18/AZ18),BA18/AZ18," - ")</f>
        <v>0.83626522327469555</v>
      </c>
      <c r="BE18" s="205">
        <f>IF(ISNUMBER(BB18/BA18),BB18/BA18, " - ")</f>
        <v>2.2766990291262137</v>
      </c>
      <c r="BF18" s="205">
        <f>IF(ISNUMBER(BC18/BA18),BC18/BA18, " - ")</f>
        <v>0.15695792880258899</v>
      </c>
      <c r="BG18" s="206">
        <f>IF(ISNUMBER((AY18+AZ18)/BA18),(AY18+AZ18)/BA18," - ")</f>
        <v>3.2766990291262137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4135</v>
      </c>
      <c r="J19" s="134">
        <f t="shared" si="18"/>
        <v>1262</v>
      </c>
      <c r="K19" s="134">
        <f t="shared" si="18"/>
        <v>1182</v>
      </c>
      <c r="L19" s="134">
        <f t="shared" si="18"/>
        <v>4158</v>
      </c>
      <c r="M19" s="134">
        <f t="shared" si="18"/>
        <v>212</v>
      </c>
      <c r="N19" s="134">
        <f t="shared" si="18"/>
        <v>678</v>
      </c>
      <c r="O19" s="134">
        <f t="shared" si="18"/>
        <v>152</v>
      </c>
      <c r="P19" s="134">
        <f t="shared" si="18"/>
        <v>121</v>
      </c>
      <c r="Q19" s="134">
        <f t="shared" si="18"/>
        <v>427</v>
      </c>
      <c r="R19" s="134">
        <f t="shared" si="18"/>
        <v>2045</v>
      </c>
      <c r="S19" s="134">
        <f t="shared" si="18"/>
        <v>3335</v>
      </c>
      <c r="T19" s="134">
        <f t="shared" si="18"/>
        <v>1340</v>
      </c>
      <c r="U19" s="134">
        <f t="shared" si="18"/>
        <v>987</v>
      </c>
      <c r="V19" s="134">
        <f t="shared" si="18"/>
        <v>3688</v>
      </c>
      <c r="W19" s="134">
        <f t="shared" si="18"/>
        <v>202</v>
      </c>
      <c r="X19" s="134">
        <f t="shared" si="18"/>
        <v>575</v>
      </c>
      <c r="Y19" s="134">
        <f t="shared" si="18"/>
        <v>40</v>
      </c>
      <c r="Z19" s="134">
        <f t="shared" si="18"/>
        <v>42</v>
      </c>
      <c r="AA19" s="134">
        <f t="shared" si="18"/>
        <v>32</v>
      </c>
      <c r="AB19" s="134">
        <f t="shared" si="18"/>
        <v>50</v>
      </c>
      <c r="AC19" s="134">
        <f t="shared" si="18"/>
        <v>0</v>
      </c>
      <c r="AD19" s="134">
        <f t="shared" si="18"/>
        <v>0</v>
      </c>
      <c r="AE19" s="134">
        <f t="shared" si="18"/>
        <v>0</v>
      </c>
      <c r="AF19" s="134">
        <f t="shared" si="18"/>
        <v>0</v>
      </c>
      <c r="AG19" s="134">
        <f t="shared" si="18"/>
        <v>27</v>
      </c>
      <c r="AH19" s="134">
        <f t="shared" si="18"/>
        <v>45</v>
      </c>
      <c r="AI19" s="134">
        <f t="shared" si="18"/>
        <v>33</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3362</v>
      </c>
      <c r="AZ19" s="134">
        <f>SUBTOTAL(9,AZ9:AZ18)</f>
        <v>1385</v>
      </c>
      <c r="BA19" s="134">
        <f>SUBTOTAL(9,BA9:BA18)</f>
        <v>1020</v>
      </c>
      <c r="BB19" s="134">
        <f>SUBTOTAL(9,BB9:BB18)</f>
        <v>3727</v>
      </c>
      <c r="BC19" s="135">
        <f>SUBTOTAL(9,BC9:BC18)</f>
        <v>273</v>
      </c>
      <c r="BD19" s="212">
        <f>IF(ISNUMBER(BA19/AZ19),BA19/AZ19," - ")</f>
        <v>0.73646209386281591</v>
      </c>
      <c r="BE19" s="209">
        <f>IF(ISNUMBER(BB19/BA19),BB19/BA19, " - ")</f>
        <v>3.6539215686274509</v>
      </c>
      <c r="BF19" s="209">
        <f>IF(ISNUMBER(BC19/BA19),BC19/BA19, " - ")</f>
        <v>0.2676470588235294</v>
      </c>
      <c r="BG19" s="135">
        <f>IF(ISNUMBER((AY19+AZ19)/BA19),(AY19+AZ19)/BA19," - ")</f>
        <v>4.6539215686274513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PPMJ2OROXhcvpmEO92lweebGk86bnYTsK+etYzFU2XVhkPM7QCj9FP+hPPLxMJs7CWRVCMoyNGlHvASF+rlw==" saltValue="IJtNTORnoIrbxRue8kQd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dBdQa7ukwn+Rvd7rFzJPzItJKysFl7ZvZlkT4+rn4yLzvjFxoW6ycbyi6ntsS5x3mK0mlqoc5Bqu1LUXPTNDg==" saltValue="W0pZXwsX4jHr0GVoaziE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27</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4</v>
      </c>
      <c r="BE10" s="228" t="str">
        <f>IF(ISNUMBER(Datos!BW10),Datos!BW10," - ")</f>
        <v xml:space="preserve"> - </v>
      </c>
      <c r="BF10" s="227" t="str">
        <f>IF(ISNUMBER(Datos!BX10),Datos!BX10," - ")</f>
        <v xml:space="preserve"> - </v>
      </c>
      <c r="BG10" s="242">
        <f>IF(ISNUMBER(Datos!K10/Datos!J10),Datos!K10/Datos!J10," - ")</f>
        <v>0.81481481481481477</v>
      </c>
      <c r="BH10" s="259">
        <f>IF(ISNUMBER(((Datos!L10/Datos!K10)*11)/factor_trimestre),((Datos!L10/Datos!K10)*11)/factor_trimestre," - ")</f>
        <v>3.6818181818181821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117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1925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92</v>
      </c>
      <c r="BD12" s="228">
        <f>IF(ISNUMBER(Datos!N12),Datos!N12," - ")</f>
        <v>174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0.75409836065573765</v>
      </c>
      <c r="BH12" s="259">
        <f>IF(ISNUMBER(((IF(J_V="SI",Datos!L12/Datos!K12,(Datos!L12+Datos!AB12)/(Datos!K12+Datos!AA12)))*11)/factor_trimestre),((IF(J_V="SI",Datos!L12/Datos!K12,(Datos!L12+Datos!AB12)/(Datos!K12+Datos!AA12)))*11)/factor_trimestre," - ")</f>
        <v>23.013586956521742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-0.1309255079006772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117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407</v>
      </c>
      <c r="AD13" s="898">
        <f t="shared" si="1"/>
        <v>0</v>
      </c>
      <c r="AE13" s="898">
        <f t="shared" si="1"/>
        <v>0</v>
      </c>
      <c r="AF13" s="898">
        <f t="shared" si="1"/>
        <v>27</v>
      </c>
      <c r="AG13" s="898">
        <f t="shared" si="1"/>
        <v>0</v>
      </c>
      <c r="AH13" s="898">
        <f t="shared" si="1"/>
        <v>50</v>
      </c>
      <c r="AI13" s="898">
        <f t="shared" si="1"/>
        <v>0</v>
      </c>
      <c r="AJ13" s="898">
        <f t="shared" si="1"/>
        <v>0</v>
      </c>
      <c r="AK13" s="898">
        <f t="shared" si="1"/>
        <v>0</v>
      </c>
      <c r="AL13" s="898">
        <f t="shared" si="1"/>
        <v>0</v>
      </c>
      <c r="AM13" s="898">
        <f t="shared" si="1"/>
        <v>1927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105</v>
      </c>
      <c r="BD13" s="898">
        <f t="shared" si="1"/>
        <v>178</v>
      </c>
      <c r="BE13" s="898">
        <f t="shared" si="1"/>
        <v>0</v>
      </c>
      <c r="BF13" s="898">
        <f t="shared" si="1"/>
        <v>0</v>
      </c>
      <c r="BG13" s="898">
        <f>IF(ISNUMBER(Datos!K13/Datos!J13),Datos!K13/Datos!J13," - ")</f>
        <v>0.7568710359408034</v>
      </c>
      <c r="BH13" s="902">
        <f>IF(ISNUMBER(((Datos!L13/Datos!K13)*11)/factor_trimestre),((Datos!L13/Datos!K13)*11)/factor_trimestre," - ")</f>
        <v>23.463687150837988</v>
      </c>
      <c r="BI13" s="898">
        <f>IF(ISNUMBER('Resol  Asuntos'!D13/NºAsuntos!G13),'Resol  Asuntos'!D13/NºAsuntos!G13," - ")</f>
        <v>0.26923076923076922</v>
      </c>
      <c r="BJ13" s="898" t="str">
        <f>IF(ISNUMBER(Datos!CI13/Datos!CJ13),Datos!CI13/Datos!CJ13," - ")</f>
        <v xml:space="preserve"> - </v>
      </c>
      <c r="BK13" s="898">
        <f>SUBTOTAL(9,BK8:BK12)</f>
        <v>0</v>
      </c>
      <c r="BL13" s="898">
        <f>IF(ISNUMBER((I13-AB13+L13)/(F13)),(I13-AB13+L13)/(F13)," - ")</f>
        <v>-1</v>
      </c>
      <c r="BM13" s="903">
        <f>SUBTOTAL(9,BM9:BM12)</f>
        <v>-0.1309255079006772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1340</v>
      </c>
      <c r="G16" s="597">
        <f>IF(ISNUMBER(IF(D_I="SI",Datos!I16,Datos!I16+Datos!AC16)),IF(D_I="SI",Datos!I16,Datos!I16+Datos!AC16)," - ")</f>
        <v>1340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775</v>
      </c>
      <c r="AC16" s="225">
        <f>IF(ISNUMBER(Datos!Q16),Datos!Q16," - ")</f>
        <v>20</v>
      </c>
      <c r="AD16" s="333"/>
      <c r="AE16" s="483"/>
      <c r="AF16" s="595">
        <f>IF(ISNUMBER(IF(D_I="SI",Datos!L16,Datos!L16+Datos!AF16)),IF(D_I="SI",Datos!L16,Datos!L16+Datos!AF16)," - ")</f>
        <v>1302</v>
      </c>
      <c r="AG16" s="333"/>
      <c r="AH16" s="333"/>
      <c r="AI16" s="333"/>
      <c r="AJ16" s="333"/>
      <c r="AK16" s="333"/>
      <c r="AL16" s="478"/>
      <c r="AM16" s="334">
        <f>IF(ISNUMBER(Datos!R16),Datos!R16," - ")</f>
        <v>114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475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1.0515603799185889</v>
      </c>
      <c r="BH16" s="259">
        <f>IF(ISNUMBER(((IF(D_I="SI",Datos!L16/Datos!K16,(Datos!L16+Datos!AF16)/(Datos!K16+Datos!AE16)))*11)/factor_trimestre),((IF(D_I="SI",Datos!L16/Datos!K16,(Datos!L16+Datos!AF16)/(Datos!K16+Datos!AE16)))*11)/factor_trimestre," - ")</f>
        <v>5.04</v>
      </c>
      <c r="BI16" s="242">
        <f>IF(ISNUMBER('Resol  Asuntos'!D16/NºAsuntos!G16),'Resol  Asuntos'!D16/NºAsuntos!G16," - ")</f>
        <v>0.12258064516129032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56</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0.94230769230769229</v>
      </c>
      <c r="BH17" s="259">
        <f>IF(ISNUMBER(((IF(D_I="SI",Datos!L17/Datos!K17,(Datos!L17+Datos!AF17)/(Datos!K17+Datos!AE17)))*11)/factor_trimestre),((IF(D_I="SI",Datos!L17/Datos!K17,(Datos!L17+Datos!AF17)/(Datos!K17+Datos!AE17)))*11)/factor_trimestre," - ")</f>
        <v>3.4285714285714288</v>
      </c>
      <c r="BI17" s="242">
        <f>IF(ISNUMBER('Resol  Asuntos'!D17/NºAsuntos!G17),'Resol  Asuntos'!D17/NºAsuntos!G17," - ")</f>
        <v>0.24489795918367346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1340</v>
      </c>
      <c r="G18" s="897">
        <f>SUBTOTAL(9,G15:G17)</f>
        <v>1450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824</v>
      </c>
      <c r="AC18" s="898">
        <f t="shared" si="4"/>
        <v>20</v>
      </c>
      <c r="AD18" s="898">
        <f t="shared" si="4"/>
        <v>0</v>
      </c>
      <c r="AE18" s="898">
        <f t="shared" si="4"/>
        <v>0</v>
      </c>
      <c r="AF18" s="898">
        <f t="shared" si="4"/>
        <v>1358</v>
      </c>
      <c r="AG18" s="898">
        <f t="shared" si="4"/>
        <v>0</v>
      </c>
      <c r="AH18" s="898">
        <f t="shared" si="4"/>
        <v>0</v>
      </c>
      <c r="AI18" s="898">
        <f t="shared" si="4"/>
        <v>0</v>
      </c>
      <c r="AJ18" s="898">
        <f t="shared" si="4"/>
        <v>0</v>
      </c>
      <c r="AK18" s="898">
        <f t="shared" si="4"/>
        <v>0</v>
      </c>
      <c r="AL18" s="898">
        <f t="shared" si="4"/>
        <v>0</v>
      </c>
      <c r="AM18" s="898">
        <f t="shared" si="4"/>
        <v>118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107</v>
      </c>
      <c r="BD18" s="898">
        <f t="shared" si="4"/>
        <v>500</v>
      </c>
      <c r="BE18" s="898">
        <f t="shared" si="4"/>
        <v>0</v>
      </c>
      <c r="BF18" s="898">
        <f t="shared" si="4"/>
        <v>0</v>
      </c>
      <c r="BG18" s="898">
        <f>IF(ISNUMBER(Datos!K18/Datos!J18),Datos!K18/Datos!J18," - ")</f>
        <v>1.044359949302915</v>
      </c>
      <c r="BH18" s="902">
        <f>IF(ISNUMBER(((Datos!L18/Datos!K18)*11)/factor_trimestre),((Datos!L18/Datos!K18)*11)/factor_trimestre," - ")</f>
        <v>4.9441747572815533</v>
      </c>
      <c r="BI18" s="898">
        <f>SUBTOTAL(9,BI15:BI17)</f>
        <v>0.36747860434496377</v>
      </c>
      <c r="BJ18" s="898">
        <f>SUBTOTAL(9,BJ15:BJ17)</f>
        <v>0</v>
      </c>
      <c r="BK18" s="898">
        <f>SUBTOTAL(9,BK15:BK17)</f>
        <v>0</v>
      </c>
      <c r="BL18" s="898">
        <f>IF(ISNUMBER((I18-AB18+L18)/(F18)),(I18-AB18+L18)/(F18)," - ")</f>
        <v>-0.61492537313432838</v>
      </c>
      <c r="BM18" s="904">
        <f>IF(ISNUMBER((Datos!P18-Datos!Q18)/(Datos!R18-Datos!P18+Datos!Q18)),(Datos!P18-Datos!Q18)/(Datos!R18-Datos!P18+Datos!Q18)," - ")</f>
        <v>-0.11940298507462686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1362</v>
      </c>
      <c r="G19" s="819">
        <f t="shared" si="6"/>
        <v>1472</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121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846</v>
      </c>
      <c r="AC19" s="820">
        <f t="shared" si="7"/>
        <v>427</v>
      </c>
      <c r="AD19" s="820">
        <f t="shared" si="7"/>
        <v>0</v>
      </c>
      <c r="AE19" s="820">
        <f t="shared" si="7"/>
        <v>0</v>
      </c>
      <c r="AF19" s="827">
        <f t="shared" si="7"/>
        <v>1385</v>
      </c>
      <c r="AG19" s="827">
        <f t="shared" si="7"/>
        <v>0</v>
      </c>
      <c r="AH19" s="827">
        <f t="shared" si="7"/>
        <v>50</v>
      </c>
      <c r="AI19" s="827">
        <f t="shared" si="7"/>
        <v>0</v>
      </c>
      <c r="AJ19" s="820">
        <f t="shared" si="7"/>
        <v>0</v>
      </c>
      <c r="AK19" s="827">
        <f t="shared" si="7"/>
        <v>0</v>
      </c>
      <c r="AL19" s="827">
        <f t="shared" si="7"/>
        <v>0</v>
      </c>
      <c r="AM19" s="827">
        <f t="shared" si="7"/>
        <v>2045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212</v>
      </c>
      <c r="BD19" s="819">
        <f t="shared" si="7"/>
        <v>678</v>
      </c>
      <c r="BE19" s="819">
        <f t="shared" si="7"/>
        <v>0</v>
      </c>
      <c r="BF19" s="829">
        <f t="shared" si="7"/>
        <v>0</v>
      </c>
      <c r="BG19" s="914">
        <f>IF(ISNUMBER(Datos!K19/Datos!J19),Datos!K19/Datos!J19," - ")</f>
        <v>0.93660855784469099</v>
      </c>
      <c r="BH19" s="914">
        <f>IF(ISNUMBER(((Datos!L19/Datos!K19)*11)/factor_trimestre),((Datos!L19/Datos!K19)*11)/factor_trimestre," - ")</f>
        <v>10.553299492385786</v>
      </c>
      <c r="BI19" s="812">
        <f>IF(ISNUMBER(Datos!J19/Datos!I19),Datos!J19/Datos!I19," - ")</f>
        <v>0.30519951632406289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-0.62114537444933926</v>
      </c>
      <c r="BM19" s="888">
        <f>IF(ISNUMBER((Datos!P19-Datos!Q19+R19)/(Datos!R19-Datos!P19+Datos!Q19-R19)),(Datos!P19-Datos!Q19+R19)/(Datos!R19-Datos!P19+Datos!Q19-R19)," - ")</f>
        <v>-0.13015737983836664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588.79999999999995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760.94765479192677</v>
      </c>
      <c r="G21" s="551">
        <f>IF(ISNUMBER(STDEV(G8:G18)),STDEV(G8:G18),"-")</f>
        <v>737.85852302456999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421.42531960004487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45.41659021400293</v>
      </c>
      <c r="BD21" s="550"/>
      <c r="BE21" s="550">
        <f>IF(ISNUMBER(STDEV(BE8:BE18)),STDEV(BE8:BE18),"-")</f>
        <v>0</v>
      </c>
      <c r="BF21" s="555">
        <f>IF(ISNUMBER(STDEV(BF8:BF18)),STDEV(BF8:BF18),"-")</f>
        <v>0</v>
      </c>
      <c r="BG21" s="774">
        <f>IF(ISNUMBER(STDEV(BG8:BG18)),STDEV(BG8:BG18),"-")</f>
        <v>0.13741479964952114</v>
      </c>
      <c r="BH21" s="775">
        <f>IF(ISNUMBER(STDEV(BH8:BH18)),STDEV(BH8:BH18),"-")</f>
        <v>9.8159466447599897</v>
      </c>
      <c r="BI21" s="248">
        <f>IF(ISNUMBER(STDEV(BI8:BI18)),STDEV(BI8:BI18),"-")</f>
        <v>0.10071144089639809</v>
      </c>
      <c r="BJ21" s="229" t="str">
        <f>IF(ISNUMBER(BL21/BM21),BL21/BM21," - ")</f>
        <v xml:space="preserve"> - </v>
      </c>
      <c r="BK21" s="574"/>
      <c r="BL21" s="558">
        <f>IF(ISNUMBER(STDEV(BL8:BL18)),STDEV(BL8:BL18),"-")</f>
        <v>0.27228887991959611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uN0HApG46ZlJ5K5x9cUB2uNzgLr+0s6ydXMvvOUV2Si7QTL/WuNV/A5swD2YJpvBuV+e05tj+OUsHJIM1XTXQ==" saltValue="2dUg3wTHqME4wGnJ5nf6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COIN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27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3.6818181818181821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407</v>
      </c>
      <c r="AA12" s="331" t="str">
        <f>IF(ISNUMBER(IF(J_V="SI",Datos!L12,Datos!L12+Datos!AB12)-IF(Monitorios="SI",Datos!CD12,0)),
                          IF(J_V="SI",Datos!L12,Datos!L12+Datos!AB12)-IF(Monitorios="SI",Datos!CD12,0),
                          " - ")</f>
        <v xml:space="preserve"> - </v>
      </c>
      <c r="AB12" s="333"/>
      <c r="AC12" s="333"/>
      <c r="AD12" s="483"/>
      <c r="AE12" s="483">
        <f>IF(ISNUMBER(Datos!R12),Datos!R12," - ")</f>
        <v>1925</v>
      </c>
      <c r="AF12" s="228" t="str">
        <f>IF(ISNUMBER(Datos!BV12),Datos!BV12," - ")</f>
        <v xml:space="preserve"> - </v>
      </c>
      <c r="AG12" s="224" t="str">
        <f>IF(ISNUMBER(Datos!DV12),Datos!DV12," - ")</f>
        <v xml:space="preserve"> - </v>
      </c>
      <c r="AH12" s="297"/>
      <c r="AI12" s="226"/>
      <c r="AJ12" s="224">
        <f>IF(ISNUMBER(Datos!M12),Datos!M12," - ")</f>
        <v>92</v>
      </c>
      <c r="AK12" s="228">
        <f>IF(ISNUMBER(Datos!N12),Datos!N12," - ")</f>
        <v>174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23.013586956521742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-0.1309255079006772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117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407</v>
      </c>
      <c r="AA13" s="899">
        <f t="shared" si="2"/>
        <v>27</v>
      </c>
      <c r="AB13" s="899">
        <f t="shared" si="2"/>
        <v>0</v>
      </c>
      <c r="AC13" s="899">
        <f t="shared" si="2"/>
        <v>0</v>
      </c>
      <c r="AD13" s="899">
        <f t="shared" si="2"/>
        <v>0</v>
      </c>
      <c r="AE13" s="899">
        <f t="shared" si="2"/>
        <v>1927</v>
      </c>
      <c r="AF13" s="907">
        <f t="shared" si="2"/>
        <v>0</v>
      </c>
      <c r="AG13" s="907">
        <f t="shared" si="2"/>
        <v>0</v>
      </c>
      <c r="AH13" s="907">
        <f t="shared" si="2"/>
        <v>0</v>
      </c>
      <c r="AI13" s="907">
        <f t="shared" si="2"/>
        <v>0</v>
      </c>
      <c r="AJ13" s="907">
        <f t="shared" si="2"/>
        <v>105</v>
      </c>
      <c r="AK13" s="907">
        <f t="shared" si="2"/>
        <v>178</v>
      </c>
      <c r="AL13" s="907">
        <f t="shared" si="2"/>
        <v>0</v>
      </c>
      <c r="AM13" s="907">
        <f t="shared" si="2"/>
        <v>0</v>
      </c>
      <c r="AN13" s="907">
        <f t="shared" si="2"/>
        <v>0</v>
      </c>
      <c r="AO13" s="903">
        <f>IF(ISNUMBER(((NºAsuntos!I13/NºAsuntos!G13)*11)/factor_trimestre),((NºAsuntos!I13/NºAsuntos!G13)*11)/factor_trimestre," - ")</f>
        <v>21.923076923076923</v>
      </c>
      <c r="AP13" s="909" t="str">
        <f>IF(ISNUMBER(Datos!CI13/Datos!CJ13),Datos!CI13/Datos!CJ13," - ")</f>
        <v xml:space="preserve"> - </v>
      </c>
      <c r="AQ13" s="927">
        <f t="shared" ref="AQ13:AV13" si="3">SUBTOTAL(9,AQ9:AQ12)</f>
        <v>0</v>
      </c>
      <c r="AR13" s="927">
        <f t="shared" si="3"/>
        <v>-0.1309255079006772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1340</v>
      </c>
      <c r="G16" s="224">
        <f>IF(ISNUMBER(IF(D_I="SI",Datos!I16,Datos!I16+Datos!AC16)),IF(D_I="SI",Datos!I16,Datos!I16+Datos!AC16)," - ")</f>
        <v>1340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775</v>
      </c>
      <c r="Z16" s="618">
        <f>IF(ISNUMBER(Datos!Q16),Datos!Q16," - ")</f>
        <v>20</v>
      </c>
      <c r="AA16" s="331">
        <f>IF(ISNUMBER(IF(D_I="SI",Datos!L16,Datos!L16+Datos!AF16)),IF(D_I="SI",Datos!L16,Datos!L16+Datos!AF16)," - ")</f>
        <v>1302</v>
      </c>
      <c r="AB16" s="333"/>
      <c r="AC16" s="333"/>
      <c r="AD16" s="483"/>
      <c r="AE16" s="483">
        <f>IF(ISNUMBER(Datos!R16),Datos!R16," - ")</f>
        <v>114</v>
      </c>
      <c r="AF16" s="228" t="str">
        <f>IF(ISNUMBER(Datos!BV16),Datos!BV16," - ")</f>
        <v xml:space="preserve"> - </v>
      </c>
      <c r="AG16" s="224"/>
      <c r="AH16" s="297"/>
      <c r="AI16" s="226"/>
      <c r="AJ16" s="224">
        <f>IF(ISNUMBER(Datos!M16),Datos!M16," - ")</f>
        <v>95</v>
      </c>
      <c r="AK16" s="228">
        <f>IF(ISNUMBER(Datos!N16),Datos!N16," - ")</f>
        <v>475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56</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12</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3.4285714285714288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1340</v>
      </c>
      <c r="G18" s="897">
        <f>SUBTOTAL(9,G15:G17)</f>
        <v>1450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824</v>
      </c>
      <c r="Z18" s="931">
        <f t="shared" si="5"/>
        <v>20</v>
      </c>
      <c r="AA18" s="931">
        <f t="shared" si="5"/>
        <v>1358</v>
      </c>
      <c r="AB18" s="931">
        <f t="shared" si="5"/>
        <v>0</v>
      </c>
      <c r="AC18" s="931">
        <f t="shared" si="5"/>
        <v>0</v>
      </c>
      <c r="AD18" s="931">
        <f t="shared" si="5"/>
        <v>0</v>
      </c>
      <c r="AE18" s="931">
        <f t="shared" si="5"/>
        <v>118</v>
      </c>
      <c r="AF18" s="931">
        <f t="shared" si="5"/>
        <v>0</v>
      </c>
      <c r="AG18" s="931">
        <f t="shared" si="5"/>
        <v>0</v>
      </c>
      <c r="AH18" s="931">
        <f t="shared" si="5"/>
        <v>0</v>
      </c>
      <c r="AI18" s="931">
        <f t="shared" si="5"/>
        <v>0</v>
      </c>
      <c r="AJ18" s="931">
        <f t="shared" si="5"/>
        <v>107</v>
      </c>
      <c r="AK18" s="931">
        <f t="shared" si="5"/>
        <v>500</v>
      </c>
      <c r="AL18" s="931">
        <f t="shared" si="5"/>
        <v>0</v>
      </c>
      <c r="AM18" s="931">
        <f t="shared" si="5"/>
        <v>0</v>
      </c>
      <c r="AN18" s="931">
        <f t="shared" si="5"/>
        <v>0</v>
      </c>
      <c r="AO18" s="933">
        <f>IF(ISNUMBER(((NºAsuntos!I18/NºAsuntos!G18)*11)/factor_trimestre),((NºAsuntos!I18/NºAsuntos!G18)*11)/factor_trimestre," - ")</f>
        <v>4.9441747572815533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1362</v>
      </c>
      <c r="G19" s="819">
        <f t="shared" si="7"/>
        <v>1472</v>
      </c>
      <c r="H19" s="820">
        <f t="shared" si="7"/>
        <v>0</v>
      </c>
      <c r="I19" s="819">
        <f t="shared" si="7"/>
        <v>0</v>
      </c>
      <c r="J19" s="821">
        <f t="shared" si="7"/>
        <v>0</v>
      </c>
      <c r="K19" s="819">
        <f t="shared" si="7"/>
        <v>0</v>
      </c>
      <c r="L19" s="822">
        <f t="shared" si="7"/>
        <v>0</v>
      </c>
      <c r="M19" s="819">
        <f t="shared" si="7"/>
        <v>0</v>
      </c>
      <c r="N19" s="820">
        <f t="shared" si="7"/>
        <v>121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846</v>
      </c>
      <c r="Z19" s="826">
        <f t="shared" si="8"/>
        <v>427</v>
      </c>
      <c r="AA19" s="827">
        <f t="shared" si="8"/>
        <v>1385</v>
      </c>
      <c r="AB19" s="827">
        <f t="shared" si="8"/>
        <v>0</v>
      </c>
      <c r="AC19" s="827">
        <f t="shared" si="8"/>
        <v>0</v>
      </c>
      <c r="AD19" s="828">
        <f t="shared" si="8"/>
        <v>0</v>
      </c>
      <c r="AE19" s="828">
        <f t="shared" si="8"/>
        <v>2045</v>
      </c>
      <c r="AF19" s="829">
        <f t="shared" si="8"/>
        <v>0</v>
      </c>
      <c r="AG19" s="830">
        <f t="shared" si="8"/>
        <v>0</v>
      </c>
      <c r="AH19" s="831">
        <f t="shared" si="8"/>
        <v>0</v>
      </c>
      <c r="AI19" s="829">
        <f t="shared" si="8"/>
        <v>0</v>
      </c>
      <c r="AJ19" s="819">
        <f t="shared" si="8"/>
        <v>212</v>
      </c>
      <c r="AK19" s="819">
        <f t="shared" si="8"/>
        <v>678</v>
      </c>
      <c r="AL19" s="819">
        <f t="shared" si="8"/>
        <v>0</v>
      </c>
      <c r="AM19" s="832">
        <f t="shared" si="8"/>
        <v>0</v>
      </c>
      <c r="AN19" s="822">
        <f>IF(ISNUMBER(Datos!K19/Datos!J19),Datos!K19/Datos!J19," - ")</f>
        <v>0.93660855784469099</v>
      </c>
      <c r="AO19" s="822">
        <f>IF(ISNUMBER(FIND("06",Criterios!A8,1)),(IF(ISNUMBER(((Datos!R19/Datos!Q19)*11)/factor_trimestre),((Datos!R19/Datos!Q19)*11)/factor_trimestre," - ")),(IF(ISNUMBER(((Datos!L19/Datos!K19)*11)/factor_trimestre),((Datos!L19/Datos!K19)*11)/factor_trimestre," - ")))</f>
        <v>10.553299492385786</v>
      </c>
      <c r="AP19" s="833" t="str">
        <f>IF(ISNUMBER(Datos!CI19/Datos!CJ19),Datos!CI19/Datos!CJ19," - ")</f>
        <v xml:space="preserve"> - </v>
      </c>
      <c r="AQ19" s="833">
        <f>IF(OR(ISNUMBER(FIND("01",Criterios!A8,1)),ISNUMBER(FIND("02",Criterios!A8,1)),ISNUMBER(FIND("03",Criterios!A8,1)),ISNUMBER(FIND("04",Criterios!A8,1))),(J19-Y19+K19)/(F19-K19),(I19-Y19+K19)/(F19-K19))</f>
        <v>-0.62114537444933926</v>
      </c>
      <c r="AR19" s="833">
        <f>IF(ISNUMBER((Datos!P19-Datos!Q19+O19)/(Datos!R19-Datos!P19+Datos!Q19-O19)),(Datos!P19-Datos!Q19+O19)/(Datos!R19-Datos!P19+Datos!Q19-O19)," - ")</f>
        <v>-0.13015737983836664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588.79999999999995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760.94765479192677</v>
      </c>
      <c r="G21" s="551">
        <f>IF(ISNUMBER(STDEV(G8:G18)),STDEV(G8:G18),"-")</f>
        <v>737.85852302456999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45.41659021400293</v>
      </c>
      <c r="AK21" s="251"/>
      <c r="AL21" s="251">
        <f>IF(ISNUMBER(STDEV(AL8:AL18)),STDEV(AL8:AL18),"-")</f>
        <v>0</v>
      </c>
      <c r="AM21" s="253">
        <f>IF(ISNUMBER(STDEV(AM8:AM18)),STDEV(AM8:AM18),"-")</f>
        <v>0</v>
      </c>
      <c r="AN21" s="538">
        <f>IF(ISNUMBER(STDEV(AN8:AN18)),STDEV(AN8:AN18),"-")</f>
        <v>0</v>
      </c>
      <c r="AO21" s="539">
        <f>IF(ISNUMBER(STDEV(AO8:AO18)),STDEV(AO8:AO18),"-")</f>
        <v>9.4243474532550859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jBy0Zu7Ek6yVFNDUUTIFbnoGWv9C/8vM5My7PkNwSeMHt3Z9uLRHrFdXGHycu71jQfnsEsnBCjMCtXsea/h7Sw==" saltValue="uJqsleridtwzQnw48Tsr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F2PAEBnrS2Ft0U8Y+BVcmQAB2YI3Sp8J7F/BasrMV038cwB08bLZdimqEwqyiUCmIwjqrTxnJxPdQFjTZSLaw==" saltValue="xscj/kPqTtnEaFoDH4hY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CucS7DHPvroxIz8XmUMsqmFSdsI4Hsi6gFWiC10IgyTU0LEEVmkbgsvLO/gzaIDtVxZOzw6gBw/sdZ0Qn4UQ==" saltValue="qSZGmZCeL1ZODT88Ojny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0.26923076923076922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0.1903749026271474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lR4+8fejq1CVXnN474H1HFiK5Tbmirs5TTp3wSurOzTucnACQoAdwXbZ+st2X4KFReR+qtB8v5RzudJrWR2/Q==" saltValue="m6eplEzv8DAWn7TKQ5Rr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Pwyi5+lYyXlI4jhT+SUCo18SMf/iiKBHuN4n/I2yyNv28r0tfwIFenHHbgpfmMySkDBtWtjKDGptdWs8bm5g==" saltValue="Qu6iQ1/gNrdSdFaOpCRB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COIN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27</v>
      </c>
      <c r="F10" s="403">
        <f>IF(ISNUMBER(E10/B10),E10/B10," - ")</f>
        <v>27</v>
      </c>
      <c r="G10" s="402">
        <f>IF(ISNUMBER(Datos!K10),Datos!K10," - ")</f>
        <v>22</v>
      </c>
      <c r="H10" s="403">
        <f>IF(ISNUMBER(G10/B10),G10/B10," - ")</f>
        <v>22</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2703</v>
      </c>
      <c r="D12" s="403">
        <f>IF(ISNUMBER(C12/Datos!BH12),C12/Datos!BH12," - ")</f>
        <v>901</v>
      </c>
      <c r="E12" s="402">
        <f>IF(ISNUMBER(IF(J_V="SI",Datos!J12,Datos!J12+Datos!Z12)),IF(J_V="SI",Datos!J12,Datos!J12+Datos!Z12)," - ")</f>
        <v>488</v>
      </c>
      <c r="F12" s="403">
        <f>IF(ISNUMBER(E12/B12),E12/B12," - ")</f>
        <v>162.66666666666666</v>
      </c>
      <c r="G12" s="402">
        <f>IF(ISNUMBER(IF(J_V="SI",Datos!K12,Datos!K12+Datos!AA12)),IF(J_V="SI",Datos!K12,Datos!K12+Datos!AA12)," - ")</f>
        <v>368</v>
      </c>
      <c r="H12" s="403">
        <f>IF(ISNUMBER(G12/B12),G12/B12," - ")</f>
        <v>122.66666666666667</v>
      </c>
      <c r="I12" s="402">
        <f>IF(ISNUMBER(IF(J_V="SI",Datos!L12,Datos!L12+Datos!AB12)),IF(J_V="SI",Datos!L12,Datos!L12+Datos!AB12)," - ")</f>
        <v>2823</v>
      </c>
      <c r="J12" s="403">
        <f>IF(ISNUMBER(I12/B12),I12/B12," - ")</f>
        <v>941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2725</v>
      </c>
      <c r="D13" s="849" t="str">
        <f>IF(ISNUMBER(C13/Datos!BI13),C13/Datos!BI13," - ")</f>
        <v xml:space="preserve"> - </v>
      </c>
      <c r="E13" s="848">
        <f>SUBTOTAL(9,E8:E12)</f>
        <v>515</v>
      </c>
      <c r="F13" s="849">
        <f>IF(ISNUMBER(E13/B13),E13/B13," - ")</f>
        <v>171.66666666666666</v>
      </c>
      <c r="G13" s="848">
        <f>SUBTOTAL(9,G8:G12)</f>
        <v>390</v>
      </c>
      <c r="H13" s="849">
        <f>IF(ISNUMBER(G13/B13),G13/B13," - ")</f>
        <v>130</v>
      </c>
      <c r="I13" s="848">
        <f>SUBTOTAL(9,I8:I12)</f>
        <v>2850</v>
      </c>
      <c r="J13" s="849">
        <f>IF(ISNUMBER(I13/B13),I13/B13," - ")</f>
        <v>950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1340</v>
      </c>
      <c r="D16" s="403">
        <f>IF(ISNUMBER(C16/Datos!BH16),C16/Datos!BH16," - ")</f>
        <v>446.66666666666669</v>
      </c>
      <c r="E16" s="402">
        <f>IF(ISNUMBER(IF(D_I="SI",Datos!J16,Datos!J16+Datos!AD16)),IF(D_I="SI",Datos!J16,Datos!J16+Datos!AD16)," - ")</f>
        <v>737</v>
      </c>
      <c r="F16" s="403">
        <f>IF(ISNUMBER(E16/B16),E16/B16," - ")</f>
        <v>245.66666666666666</v>
      </c>
      <c r="G16" s="402">
        <f>IF(ISNUMBER(IF(D_I="SI",Datos!K16,Datos!K16+Datos!AE16)),IF(D_I="SI",Datos!K16,Datos!K16+Datos!AE16)," - ")</f>
        <v>775</v>
      </c>
      <c r="H16" s="403">
        <f>IF(ISNUMBER(G16/B16),G16/B16," - ")</f>
        <v>258.33333333333331</v>
      </c>
      <c r="I16" s="402">
        <f>IF(ISNUMBER(IF(D_I="SI",Datos!L16,Datos!L16+Datos!AF16)),IF(D_I="SI",Datos!L16,Datos!L16+Datos!AF16)," - ")</f>
        <v>1302</v>
      </c>
      <c r="J16" s="403">
        <f>IF(ISNUMBER(I16/B16),I16/B16," - ")</f>
        <v>434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110</v>
      </c>
      <c r="D17" s="403">
        <f>IF(ISNUMBER(C17/Datos!BH17),C17/Datos!BH17," - ")</f>
        <v>110</v>
      </c>
      <c r="E17" s="402">
        <f>IF(ISNUMBER(IF(D_I="SI",Datos!J17,Datos!J17+Datos!AD17)),IF(D_I="SI",Datos!J17,Datos!J17+Datos!AD17)," - ")</f>
        <v>52</v>
      </c>
      <c r="F17" s="403">
        <f>IF(ISNUMBER(E17/B17),E17/B17," - ")</f>
        <v>52</v>
      </c>
      <c r="G17" s="402">
        <f>IF(ISNUMBER(IF(D_I="SI",Datos!K17,Datos!K17+Datos!AE17)),IF(D_I="SI",Datos!K17,Datos!K17+Datos!AE17)," - ")</f>
        <v>49</v>
      </c>
      <c r="H17" s="403">
        <f>IF(ISNUMBER(G17/B17),G17/B17," - ")</f>
        <v>49</v>
      </c>
      <c r="I17" s="402">
        <f>IF(ISNUMBER(IF(D_I="SI",Datos!L17,Datos!L17+Datos!AF17)),IF(D_I="SI",Datos!L17,Datos!L17+Datos!AF17)," - ")</f>
        <v>56</v>
      </c>
      <c r="J17" s="403">
        <f>IF(ISNUMBER(I17/B17),I17/B17," - ")</f>
        <v>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1450</v>
      </c>
      <c r="D18" s="849" t="str">
        <f>IF(ISNUMBER(C18/Datos!BI18),C18/Datos!BI18," - ")</f>
        <v xml:space="preserve"> - </v>
      </c>
      <c r="E18" s="848">
        <f>SUBTOTAL(9,E14:E17)</f>
        <v>789</v>
      </c>
      <c r="F18" s="849">
        <f>IF(ISNUMBER(E18/B18),E18/B18," - ")</f>
        <v>263</v>
      </c>
      <c r="G18" s="848">
        <f>SUBTOTAL(9,G14:G17)</f>
        <v>824</v>
      </c>
      <c r="H18" s="849">
        <f>IF(ISNUMBER(G18/B18),G18/B18," - ")</f>
        <v>274.66666666666669</v>
      </c>
      <c r="I18" s="848">
        <f>SUBTOTAL(9,I14:I17)</f>
        <v>1358</v>
      </c>
      <c r="J18" s="849">
        <f>IF(ISNUMBER(I18/B18),I18/B18," - ")</f>
        <v>452.66666666666669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4175</v>
      </c>
      <c r="D19" s="794" t="str">
        <f>IF(ISNUMBER(C19/Datos!BI19),C19/Datos!BI19," - ")</f>
        <v xml:space="preserve"> - </v>
      </c>
      <c r="E19" s="793">
        <f>SUBTOTAL(9,E9:E18)</f>
        <v>1304</v>
      </c>
      <c r="F19" s="794">
        <f>IF(ISNUMBER(E19/B19),E19/B19," - ")</f>
        <v>434.66666666666669</v>
      </c>
      <c r="G19" s="793">
        <f>SUBTOTAL(9,G9:G18)</f>
        <v>1214</v>
      </c>
      <c r="H19" s="794">
        <f>IF(ISNUMBER(G19/B19),G19/B19," - ")</f>
        <v>404.66666666666669</v>
      </c>
      <c r="I19" s="793">
        <f>SUBTOTAL(9,I9:I18)</f>
        <v>4208</v>
      </c>
      <c r="J19" s="794">
        <f>IF(ISNUMBER(I19/B19),I19/B19," - ")</f>
        <v>1402.6666666666667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BmzTdf6I/hG6B++X+nkV1h8LR/N5uHGVtpaHF164ShcvZ6rwYVqvjzGGxVTuZvdhBpW/G93Ri5Yj9axRcbgMg==" saltValue="Sp8KyiqqOgOitZWFe2d4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COIN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3.6818181818181821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92</v>
      </c>
      <c r="AM12" s="689">
        <f>IF(ISNUMBER(Datos!N12+DatosP!N16),Datos!N12+DatosP!N16," - ")</f>
        <v>174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23.013586956521742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-0.1309255079006772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117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407</v>
      </c>
      <c r="AE13" s="938">
        <f t="shared" si="1"/>
        <v>0</v>
      </c>
      <c r="AF13" s="938">
        <f t="shared" si="1"/>
        <v>27</v>
      </c>
      <c r="AG13" s="938">
        <f t="shared" si="1"/>
        <v>0</v>
      </c>
      <c r="AH13" s="938">
        <f t="shared" si="1"/>
        <v>1925</v>
      </c>
      <c r="AI13" s="938">
        <f t="shared" si="1"/>
        <v>0</v>
      </c>
      <c r="AJ13" s="938">
        <f t="shared" si="1"/>
        <v>0</v>
      </c>
      <c r="AK13" s="938">
        <f t="shared" si="1"/>
        <v>0</v>
      </c>
      <c r="AL13" s="938">
        <f t="shared" si="1"/>
        <v>105</v>
      </c>
      <c r="AM13" s="938">
        <f t="shared" si="1"/>
        <v>178</v>
      </c>
      <c r="AN13" s="938">
        <f t="shared" si="1"/>
        <v>0</v>
      </c>
      <c r="AO13" s="938">
        <f t="shared" si="1"/>
        <v>0</v>
      </c>
      <c r="AP13" s="943">
        <f>IF(ISNUMBER(((Datos!L13/Datos!K13)*11)/factor_trimestre),((Datos!L13/Datos!K13)*11)/factor_trimestre," - ")</f>
        <v>23.463687150837988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-0.1309255079006772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4.9441747572815533</v>
      </c>
      <c r="AQ18" s="943">
        <f>IF(ISNUMBER(((Datos!M18/Datos!L18)*11)/factor_trimestre),((Datos!M18/Datos!L18)*11)/factor_trimestre," - ")</f>
        <v>0.23637702503681887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-0.11940298507462686</v>
      </c>
      <c r="AW18" s="945">
        <f>IF(ISNUMBER((Datos!Q18-Datos!R18)/(Datos!S18-Datos!Q18+Datos!R18)),(Datos!Q18-Datos!R18)/(Datos!S18-Datos!Q18+Datos!R18)," - ")</f>
        <v>-7.0809248554913301E-2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117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407</v>
      </c>
      <c r="AE19" s="956">
        <f t="shared" si="5"/>
        <v>0</v>
      </c>
      <c r="AF19" s="957">
        <f t="shared" si="5"/>
        <v>27</v>
      </c>
      <c r="AG19" s="957">
        <f t="shared" si="5"/>
        <v>0</v>
      </c>
      <c r="AH19" s="957">
        <f t="shared" si="5"/>
        <v>1925</v>
      </c>
      <c r="AI19" s="957">
        <f t="shared" si="5"/>
        <v>0</v>
      </c>
      <c r="AJ19" s="958">
        <f t="shared" si="5"/>
        <v>0</v>
      </c>
      <c r="AK19" s="958">
        <f t="shared" si="5"/>
        <v>0</v>
      </c>
      <c r="AL19" s="950">
        <f t="shared" si="5"/>
        <v>105</v>
      </c>
      <c r="AM19" s="950">
        <f t="shared" si="5"/>
        <v>178</v>
      </c>
      <c r="AN19" s="950">
        <f t="shared" si="5"/>
        <v>0</v>
      </c>
      <c r="AO19" s="950">
        <f t="shared" si="5"/>
        <v>0</v>
      </c>
      <c r="AP19" s="950">
        <f>IF(ISNUMBER(((Datos!L19/Datos!K19)*11)/factor_trimestre),((Datos!L19/Datos!K19)*11)/factor_trimestre," - ")</f>
        <v>10.553299492385786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-0.13015737983836664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53.643887505163775</v>
      </c>
      <c r="AM21" s="735"/>
      <c r="AN21" s="735">
        <f>IF(ISNUMBER(STDEV(AN8:AN18)),STDEV(AN8:AN18),"-")</f>
        <v>0</v>
      </c>
      <c r="AO21" s="741">
        <f>IF(ISNUMBER(STDEV(AO8:AO18)),STDEV(AO8:AO18),"-")</f>
        <v>0</v>
      </c>
      <c r="AP21" s="778">
        <f>IF(ISNUMBER(STDEV(AP8:AP18)),STDEV(AP8:AP18),"-")</f>
        <v>10.940413439383633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4GVVQZG4XyKOPax2UqcakMHm32s5f1hXzYRjAOJ4seZddosxYhCyNqkYItJkoGv2LNQInZGn0UOxiSd3TYV/A==" saltValue="dFrCzVbJsguPEmE612pn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COIN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NKbrR5ZaAZ6Xp1p9VcXm76hscUHZEWa0mT20TSGz5TpXMlLLyFjcUzOis8yEzwhyRwbS3oEsXqdnNh01KS26Q==" saltValue="BjKf9lZIKh80FFDtQSbV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COIN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4</v>
      </c>
      <c r="G10" s="403">
        <f>IF(ISNUMBER(F10/B10),F10/B10," - ")</f>
        <v>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92</v>
      </c>
      <c r="E12" s="403">
        <f t="shared" si="0"/>
        <v>30.666666666666668</v>
      </c>
      <c r="F12" s="402">
        <f>IF(ISNUMBER(Datos!N12),Datos!N12," - ")</f>
        <v>174</v>
      </c>
      <c r="G12" s="403">
        <f t="shared" si="1"/>
        <v>58</v>
      </c>
      <c r="H12" s="402">
        <f>IF(ISNUMBER(Datos!O12),Datos!O12," - ")</f>
        <v>145</v>
      </c>
      <c r="I12" s="403">
        <f t="shared" si="2"/>
        <v>48.333333333333336</v>
      </c>
      <c r="BZ12" s="1185">
        <f>Datos!EZ12</f>
        <v>0</v>
      </c>
    </row>
    <row r="13" spans="1:78" ht="14.25" thickTop="1" thickBot="1">
      <c r="A13" s="847" t="str">
        <f>Datos!A13</f>
        <v>TOTAL</v>
      </c>
      <c r="B13" s="848">
        <f>Datos!AP13</f>
        <v>3</v>
      </c>
      <c r="C13" s="850">
        <f>Datos!AR13</f>
        <v>3</v>
      </c>
      <c r="D13" s="848">
        <f>SUBTOTAL(9,D9:D12)</f>
        <v>105</v>
      </c>
      <c r="E13" s="849">
        <f t="shared" si="0"/>
        <v>35</v>
      </c>
      <c r="F13" s="848">
        <f>SUBTOTAL(9,F9:F12)</f>
        <v>178</v>
      </c>
      <c r="G13" s="849">
        <f t="shared" si="1"/>
        <v>59.333333333333336</v>
      </c>
      <c r="H13" s="848">
        <f>SUBTOTAL(9,H9:H12)</f>
        <v>147</v>
      </c>
      <c r="I13" s="849">
        <f>IF(ISNUMBER(H13/B13),H13/B13," - ")</f>
        <v>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95</v>
      </c>
      <c r="E16" s="403">
        <f t="shared" si="3"/>
        <v>31.666666666666668</v>
      </c>
      <c r="F16" s="402">
        <f>IF(ISNUMBER(Datos!N16),Datos!N16," - ")</f>
        <v>475</v>
      </c>
      <c r="G16" s="403">
        <f t="shared" si="4"/>
        <v>158.33333333333334</v>
      </c>
      <c r="H16" s="402">
        <f>IF(ISNUMBER(Datos!O16),Datos!O16," - ")</f>
        <v>5</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107</v>
      </c>
      <c r="E18" s="849">
        <f t="shared" si="3"/>
        <v>35.666666666666664</v>
      </c>
      <c r="F18" s="848">
        <f>SUBTOTAL(9,F15:F17)</f>
        <v>500</v>
      </c>
      <c r="G18" s="849">
        <f t="shared" si="4"/>
        <v>166.66666666666666</v>
      </c>
      <c r="H18" s="848">
        <f>SUBTOTAL(9,H15:H17)</f>
        <v>5</v>
      </c>
      <c r="I18" s="849">
        <f>IF(ISNUMBER(H18/B18),H18/B18," - ")</f>
        <v>1.6666666666666667</v>
      </c>
      <c r="BZ18" s="1185"/>
    </row>
    <row r="19" spans="1:78" ht="14.25" thickTop="1" thickBot="1">
      <c r="A19" s="792" t="str">
        <f>Datos!A19</f>
        <v>TOTAL JURISDICCIONES</v>
      </c>
      <c r="B19" s="793">
        <f>Datos!AP19</f>
        <v>3</v>
      </c>
      <c r="C19" s="793">
        <f>Datos!AR19</f>
        <v>3</v>
      </c>
      <c r="D19" s="793">
        <f>SUBTOTAL(9,D8:D18)</f>
        <v>212</v>
      </c>
      <c r="E19" s="794">
        <f>IF(ISNUMBER(D19/B19),D19/B19," - ")</f>
        <v>70.666666666666671</v>
      </c>
      <c r="F19" s="793">
        <f>SUBTOTAL(9,F8:F18)</f>
        <v>678</v>
      </c>
      <c r="G19" s="794">
        <f>IF(ISNUMBER(F19/B19),F19/B19," - ")</f>
        <v>226</v>
      </c>
      <c r="H19" s="793">
        <f>SUBTOTAL(9,H8:H18)</f>
        <v>152</v>
      </c>
      <c r="I19" s="794">
        <f>IF(ISNUMBER(H19/B19),H19/B19," - ")</f>
        <v>50.666666666666664</v>
      </c>
    </row>
    <row r="22" spans="1:78">
      <c r="A22" s="390" t="str">
        <f>Criterios!A4</f>
        <v>Fecha Informe: 17 mar. 2026</v>
      </c>
    </row>
    <row r="27" spans="1:78">
      <c r="A27" s="413"/>
    </row>
  </sheetData>
  <sheetProtection algorithmName="SHA-512" hashValue="Ru464Pc9kd4E/ocBpwgCgdInFA64P0+LWA+leDkUzRM9lcW0J5oFbkPCgWDLXWWcwFKo1Cwn+f5WHuTC4Mj8Rw==" saltValue="1D9ITUhu8WqBgGe4Sk4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COIN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117</v>
      </c>
      <c r="C12" s="433">
        <f>IF(ISNUMBER(Datos!Q12),Datos!Q12," - ")</f>
        <v>407</v>
      </c>
      <c r="D12" s="407">
        <f>IF(ISNUMBER(Datos!R12),Datos!R12," - ")</f>
        <v>1925</v>
      </c>
    </row>
    <row r="13" spans="1:4" ht="14.25" thickTop="1" thickBot="1">
      <c r="A13" s="847" t="str">
        <f>Datos!A13</f>
        <v>TOTAL</v>
      </c>
      <c r="B13" s="848">
        <f>SUBTOTAL(9,B9:B12)</f>
        <v>117</v>
      </c>
      <c r="C13" s="852">
        <f>SUBTOTAL(9,C9:C12)</f>
        <v>407</v>
      </c>
      <c r="D13" s="850">
        <f>SUBTOTAL(9,D9:D12)</f>
        <v>1927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20</v>
      </c>
      <c r="D16" s="407">
        <f>IF(ISNUMBER(Datos!R16),Datos!R16," - ")</f>
        <v>114</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4</v>
      </c>
      <c r="C18" s="852">
        <f>SUBTOTAL(9,C15:C17)</f>
        <v>20</v>
      </c>
      <c r="D18" s="850">
        <f>SUBTOTAL(9,D15:D17)</f>
        <v>118</v>
      </c>
    </row>
    <row r="19" spans="1:4" ht="16.5" customHeight="1" thickTop="1" thickBot="1">
      <c r="A19" s="792" t="str">
        <f>Datos!A19</f>
        <v>TOTAL JURISDICCIONES</v>
      </c>
      <c r="B19" s="797">
        <f>SUBTOTAL(9,B8:B18)</f>
        <v>121</v>
      </c>
      <c r="C19" s="798">
        <f>SUBTOTAL(9,C8:C18)</f>
        <v>427</v>
      </c>
      <c r="D19" s="799">
        <f>SUBTOTAL(9,D8:D18)</f>
        <v>2045</v>
      </c>
    </row>
    <row r="20" spans="1:4" ht="7.5" customHeight="1"/>
    <row r="21" spans="1:4" ht="6" customHeight="1"/>
    <row r="22" spans="1:4">
      <c r="A22" s="390" t="str">
        <f>Criterios!A4</f>
        <v>Fecha Informe: 17 mar. 2026</v>
      </c>
    </row>
    <row r="27" spans="1:4">
      <c r="A27" s="413"/>
    </row>
  </sheetData>
  <sheetProtection algorithmName="SHA-512" hashValue="Umfq7+SIZwlaKsmOvkuL5/xvI141KUuSO00Fd8J+n9z0OkeEsiDpQVc6+IHrFLDN0FfIQgRGrW3WmKGDps7Sfw==" saltValue="SadlRY3z7icUzuHkBGSm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COIN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3.8461538461538464E-2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0.31853658536585366</v>
      </c>
      <c r="C12" s="455">
        <f>IF(ISNUMBER(
   IF(J_V="SI",(Datos!J12-Datos!T12)/Datos!T12,(Datos!J12+Datos!Z12-(Datos!T12+Datos!AH12))/(Datos!T12+Datos!AH12))
     ),IF(J_V="SI",(Datos!J12-Datos!T12)/Datos!T12,(Datos!J12+Datos!Z12-(Datos!T12+Datos!AH12))/(Datos!T12+Datos!AH12))," - ")</f>
        <v>-0.24458204334365324</v>
      </c>
      <c r="D12" s="455">
        <f>IF(ISNUMBER(
   IF(J_V="SI",(Datos!K12-Datos!U12)/Datos!U12,(Datos!K12+Datos!AA12-(Datos!U12+Datos!AI12))/(Datos!U12+Datos!AI12))
     ),IF(J_V="SI",(Datos!K12-Datos!U12)/Datos!U12,(Datos!K12+Datos!AA12-(Datos!U12+Datos!AI12))/(Datos!U12+Datos!AI12))," - ")</f>
        <v>-8.45771144278607E-2</v>
      </c>
      <c r="E12" s="455">
        <f>IF(ISNUMBER(
   IF(J_V="SI",(Datos!L12-Datos!V12)/Datos!V12,(Datos!L12+Datos!AB12-(Datos!V12+Datos!AJ12))/(Datos!V12+Datos!AJ12))
     ),IF(J_V="SI",(Datos!L12-Datos!V12)/Datos!V12,(Datos!L12+Datos!AB12-(Datos!V12+Datos!AJ12))/(Datos!V12+Datos!AJ12))," - ")</f>
        <v>0.23060156931124673</v>
      </c>
      <c r="F12" s="455">
        <f>IF(ISNUMBER((Datos!M12-Datos!W12)/Datos!W12),(Datos!M12-Datos!W12)/Datos!W12," - ")</f>
        <v>-0.12380952380952381</v>
      </c>
      <c r="G12" s="456">
        <f>IF(ISNUMBER((Datos!N12-Datos!X12)/Datos!X12),(Datos!N12-Datos!X12)/Datos!X12," - ")</f>
        <v>-1.1363636363636364E-2</v>
      </c>
      <c r="H12" s="454">
        <f>IF(ISNUMBER(((NºAsuntos!G12/NºAsuntos!E12)-Datos!BD12)/Datos!BD12),((NºAsuntos!G12/NºAsuntos!E12)-Datos!BD12)/Datos!BD12," - ")</f>
        <v>0.21180980344180733</v>
      </c>
      <c r="I12" s="455">
        <f>IF(ISNUMBER(((NºAsuntos!I12/NºAsuntos!G12)-Datos!BE12)/Datos!BE12),((NºAsuntos!I12/NºAsuntos!G12)-Datos!BE12)/Datos!BE12," - ")</f>
        <v>0.34429845343239451</v>
      </c>
      <c r="J12" s="460">
        <f>IF(ISNUMBER((('Resol  Asuntos'!D12/NºAsuntos!G12)-Datos!BF12)/Datos!BF12),(('Resol  Asuntos'!D12/NºAsuntos!G12)-Datos!BF12)/Datos!BF12," - ")</f>
        <v>-0.42897727272727271</v>
      </c>
      <c r="K12" s="461">
        <f>IF(ISNUMBER((((NºAsuntos!C12+NºAsuntos!E12)/NºAsuntos!G12)-Datos!BG12)/Datos!BG12),(((NºAsuntos!C12+NºAsuntos!E12)/NºAsuntos!G12)-Datos!BG12)/Datos!BG12," - ")</f>
        <v>0.29296018255708928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0.31262042389210021</v>
      </c>
      <c r="C13" s="854">
        <f>IF(ISNUMBER(
   IF(J_V="SI",(Datos!J13-Datos!T13)/Datos!T13,(Datos!J13+Datos!Z13-(Datos!T13+Datos!AH13))/(Datos!T13+Datos!AH13))
     ),IF(J_V="SI",(Datos!J13-Datos!T13)/Datos!T13,(Datos!J13+Datos!Z13-(Datos!T13+Datos!AH13))/(Datos!T13+Datos!AH13))," - ")</f>
        <v>-0.20278637770897834</v>
      </c>
      <c r="D13" s="854">
        <f>IF(ISNUMBER(
   IF(J_V="SI",(Datos!K13-Datos!U13)/Datos!U13,(Datos!K13+Datos!AA13-(Datos!U13+Datos!AI13))/(Datos!U13+Datos!AI13))
     ),IF(J_V="SI",(Datos!K13-Datos!U13)/Datos!U13,(Datos!K13+Datos!AA13-(Datos!U13+Datos!AI13))/(Datos!U13+Datos!AI13))," - ")</f>
        <v>-2.9850746268656716E-2</v>
      </c>
      <c r="E13" s="854">
        <f>IF(ISNUMBER(
   IF(J_V="SI",(Datos!L13-Datos!V13)/Datos!V13,(Datos!L13+Datos!AB13-(Datos!V13+Datos!AJ13))/(Datos!V13+Datos!AJ13))
     ),IF(J_V="SI",(Datos!L13-Datos!V13)/Datos!V13,(Datos!L13+Datos!AB13-(Datos!V13+Datos!AJ13))/(Datos!V13+Datos!AJ13))," - ")</f>
        <v>0.22844827586206898</v>
      </c>
      <c r="F13" s="855">
        <f>IF(ISNUMBER((Datos!M13-Datos!W13)/Datos!W13),(Datos!M13-Datos!W13)/Datos!W13," - ")</f>
        <v>0</v>
      </c>
      <c r="G13" s="856">
        <f>IF(ISNUMBER((Datos!N13-Datos!X13)/Datos!X13),(Datos!N13-Datos!X13)/Datos!X13," - ")</f>
        <v>1.1363636363636364E-2</v>
      </c>
      <c r="H13" s="856">
        <f>IF(ISNUMBER(((NºAsuntos!G13/NºAsuntos!E13)-Datos!BD13)/Datos!BD13),((NºAsuntos!G13/NºAsuntos!E13)-Datos!BD13)/Datos!BD13," - ")</f>
        <v>0.21692508332125784</v>
      </c>
      <c r="I13" s="856">
        <f>IF(ISNUMBER(((NºAsuntos!I13/NºAsuntos!G13)-Datos!BE13)/Datos!BE13),((NºAsuntos!I13/NºAsuntos!G13)-Datos!BE13)/Datos!BE13," - ")</f>
        <v>0.26624668435013249</v>
      </c>
      <c r="J13" s="856">
        <f>IF(ISNUMBER((('Resol  Asuntos'!D13/NºAsuntos!G13)-Datos!BF13)/Datos!BF13),(('Resol  Asuntos'!D13/NºAsuntos!G13)-Datos!BF13)/Datos!BF13," - ")</f>
        <v>-0.38505244755244761</v>
      </c>
      <c r="K13" s="856">
        <f>IF(ISNUMBER((((NºAsuntos!C13+NºAsuntos!E13)/NºAsuntos!G13)-Datos!BG13)/Datos!BG13),(((NºAsuntos!C13+NºAsuntos!E13)/NºAsuntos!G13)-Datos!BG13)/Datos!BG13," - ")</f>
        <v>0.2269259028994518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0.13655640373197625</v>
      </c>
      <c r="C16" s="455">
        <f>IF(ISNUMBER(
   IF(D_I="SI",(Datos!J16-Datos!T16)/Datos!T16,(Datos!J16+Datos!AD16-(Datos!T16+Datos!AL16))/(Datos!T16+Datos!AL16))
     ),IF(D_I="SI",(Datos!J16-Datos!T16)/Datos!T16,(Datos!J16+Datos!AD16-(Datos!T16+Datos!AL16))/(Datos!T16+Datos!AL16))," - ")</f>
        <v>0.10164424514200299</v>
      </c>
      <c r="D16" s="455">
        <f>IF(ISNUMBER(
   IF(D_I="SI",(Datos!K16-Datos!U16)/Datos!U16,(Datos!K16+Datos!AE16-(Datos!U16+Datos!AM16))/(Datos!U16+Datos!AM16))
     ),IF(D_I="SI",(Datos!K16-Datos!U16)/Datos!U16,(Datos!K16+Datos!AE16-(Datos!U16+Datos!AM16))/(Datos!U16+Datos!AM16))," - ")</f>
        <v>0.43784786641929502</v>
      </c>
      <c r="E16" s="455">
        <f>IF(ISNUMBER(
   IF(D_I="SI",(Datos!L16-Datos!V16)/Datos!V16,(Datos!L16+Datos!AF16-(Datos!V16+Datos!AN16))/(Datos!V16+Datos!AN16))
     ),IF(D_I="SI",(Datos!L16-Datos!V16)/Datos!V16,(Datos!L16+Datos!AF16-(Datos!V16+Datos!AN16))/(Datos!V16+Datos!AN16))," - ")</f>
        <v>-5.3475935828877002E-3</v>
      </c>
      <c r="F16" s="455">
        <f>IF(ISNUMBER((Datos!M16-Datos!W16)/Datos!W16),(Datos!M16-Datos!W16)/Datos!W16," - ")</f>
        <v>0.15853658536585366</v>
      </c>
      <c r="G16" s="456">
        <f>IF(ISNUMBER((Datos!N16-Datos!X16)/Datos!X16),(Datos!N16-Datos!X16)/Datos!X16," - ")</f>
        <v>0.28378378378378377</v>
      </c>
      <c r="H16" s="454">
        <f>IF(ISNUMBER(((NºAsuntos!G16/NºAsuntos!E16)-Datos!BD16)/Datos!BD16),((NºAsuntos!G16/NºAsuntos!E16)-Datos!BD16)/Datos!BD16," - ")</f>
        <v>0.30518347711602212</v>
      </c>
      <c r="I16" s="455">
        <f>IF(ISNUMBER(((NºAsuntos!I16/NºAsuntos!G16)-Datos!BE16)/Datos!BE16),((NºAsuntos!I16/NºAsuntos!G16)-Datos!BE16)/Datos!BE16," - ")</f>
        <v>-0.30823529411764705</v>
      </c>
      <c r="J16" s="460">
        <f>IF(ISNUMBER((('Resol  Asuntos'!D16/NºAsuntos!G16)-Datos!BF16)/Datos!BF16),(('Resol  Asuntos'!D16/NºAsuntos!G16)-Datos!BF16)/Datos!BF16," - ")</f>
        <v>-0.19425649095200626</v>
      </c>
      <c r="K16" s="461">
        <f>IF(ISNUMBER((((NºAsuntos!C16+NºAsuntos!E16)/NºAsuntos!G16)-Datos!BG16)/Datos!BG16),(((NºAsuntos!C16+NºAsuntos!E16)/NºAsuntos!G16)-Datos!BG16)/Datos!BG16," - ")</f>
        <v>-0.21833333333333324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2.8037383177570093E-2</v>
      </c>
      <c r="C17" s="455">
        <f>IF(ISNUMBER(
   IF(D_I="SI",(Datos!J17-Datos!T17)/Datos!T17,(Datos!J17+Datos!AD17-(Datos!T17+Datos!AL17))/(Datos!T17+Datos!AL17))
     ),IF(D_I="SI",(Datos!J17-Datos!T17)/Datos!T17,(Datos!J17+Datos!AD17-(Datos!T17+Datos!AL17))/(Datos!T17+Datos!AL17))," - ")</f>
        <v>-0.25714285714285712</v>
      </c>
      <c r="D17" s="455">
        <f>IF(ISNUMBER(
   IF(D_I="SI",(Datos!K17-Datos!U17)/Datos!U17,(Datos!K17+Datos!AE17-(Datos!U17+Datos!AM17))/(Datos!U17+Datos!AM17))
     ),IF(D_I="SI",(Datos!K17-Datos!U17)/Datos!U17,(Datos!K17+Datos!AE17-(Datos!U17+Datos!AM17))/(Datos!U17+Datos!AM17))," - ")</f>
        <v>-0.379746835443038</v>
      </c>
      <c r="E17" s="455">
        <f>IF(ISNUMBER(
   IF(D_I="SI",(Datos!L17-Datos!V17)/Datos!V17,(Datos!L17+Datos!AF17-(Datos!V17+Datos!AN17))/(Datos!V17+Datos!AN17))
     ),IF(D_I="SI",(Datos!L17-Datos!V17)/Datos!V17,(Datos!L17+Datos!AF17-(Datos!V17+Datos!AN17))/(Datos!V17+Datos!AN17))," - ")</f>
        <v>-0.42857142857142855</v>
      </c>
      <c r="F17" s="455">
        <f>IF(ISNUMBER((Datos!M17-Datos!W17)/Datos!W17),(Datos!M17-Datos!W17)/Datos!W17," - ")</f>
        <v>-0.2</v>
      </c>
      <c r="G17" s="456">
        <f>IF(ISNUMBER((Datos!N17-Datos!X17)/Datos!X17),(Datos!N17-Datos!X17)/Datos!X17," - ")</f>
        <v>-0.13793103448275862</v>
      </c>
      <c r="H17" s="454">
        <f>IF(ISNUMBER(((NºAsuntos!G17/NºAsuntos!E17)-Datos!BD17)/Datos!BD17),((NºAsuntos!G17/NºAsuntos!E17)-Datos!BD17)/Datos!BD17," - ")</f>
        <v>-0.16504381694255113</v>
      </c>
      <c r="I17" s="455">
        <f>IF(ISNUMBER(((NºAsuntos!I17/NºAsuntos!G17)-Datos!BE17)/Datos!BE17),((NºAsuntos!I17/NºAsuntos!G17)-Datos!BE17)/Datos!BE17," - ")</f>
        <v>-7.8717201166180778E-2</v>
      </c>
      <c r="J17" s="460">
        <f>IF(ISNUMBER((('Resol  Asuntos'!D17/NºAsuntos!G17)-Datos!BF17)/Datos!BF17),(('Resol  Asuntos'!D17/NºAsuntos!G17)-Datos!BF17)/Datos!BF17," - ")</f>
        <v>0.28979591836734681</v>
      </c>
      <c r="K17" s="461">
        <f>IF(ISNUMBER((((NºAsuntos!C17+NºAsuntos!E17)/NºAsuntos!G17)-Datos!BG17)/Datos!BG17),(((NºAsuntos!C17+NºAsuntos!E17)/NºAsuntos!G17)-Datos!BG17)/Datos!BG17," - ")</f>
        <v>0.47561397440332076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0.12752721617418353</v>
      </c>
      <c r="C18" s="854">
        <f>IF(ISNUMBER(
   IF(Criterios!B14="SI",(Datos!J18-Datos!T18)/Datos!T18,(Datos!J18+Datos!AD18-(Datos!T18+Datos!AL18))/(Datos!T18+Datos!AL18))
     ),IF(Criterios!B14="SI",(Datos!J18-Datos!T18)/Datos!T18,(Datos!J18+Datos!AD18-(Datos!T18+Datos!AL18))/(Datos!T18+Datos!AL18))," - ")</f>
        <v>6.7658998646820026E-2</v>
      </c>
      <c r="D18" s="854">
        <f>IF(ISNUMBER(
   IF(Criterios!B14="SI",(Datos!K18-Datos!U18)/Datos!U18,(Datos!K18+Datos!AE18-(Datos!U18+Datos!AM18))/(Datos!U18+Datos!AM18))
     ),IF(Criterios!B14="SI",(Datos!K18-Datos!U18)/Datos!U18,(Datos!K18+Datos!AE18-(Datos!U18+Datos!AM18))/(Datos!U18+Datos!AM18))," - ")</f>
        <v>0.33333333333333331</v>
      </c>
      <c r="E18" s="854">
        <f>IF(ISNUMBER(
   IF(Criterios!B14="SI",(Datos!L18-Datos!V18)/Datos!V18,(Datos!L18+Datos!AF18-(Datos!V18+Datos!AN18))/(Datos!V18+Datos!AN18))
     ),IF(Criterios!B14="SI",(Datos!L18-Datos!V18)/Datos!V18,(Datos!L18+Datos!AF18-(Datos!V18+Datos!AN18))/(Datos!V18+Datos!AN18))," - ")</f>
        <v>-3.482587064676617E-2</v>
      </c>
      <c r="F18" s="855">
        <f>IF(ISNUMBER((Datos!M18-Datos!W18)/Datos!W18),(Datos!M18-Datos!W18)/Datos!W18," - ")</f>
        <v>0.10309278350515463</v>
      </c>
      <c r="G18" s="856">
        <f>IF(ISNUMBER((Datos!N18-Datos!X18)/Datos!X18),(Datos!N18-Datos!X18)/Datos!X18," - ")</f>
        <v>0.25313283208020049</v>
      </c>
      <c r="H18" s="856">
        <f>IF(ISNUMBER(((NºAsuntos!G18/NºAsuntos!E18)-Datos!BD18)/Datos!BD18),((NºAsuntos!G18/NºAsuntos!E18)-Datos!BD18)/Datos!BD18," - ")</f>
        <v>0.24883819180397113</v>
      </c>
      <c r="I18" s="856">
        <f>IF(ISNUMBER(((NºAsuntos!I18/NºAsuntos!G18)-Datos!BE18)/Datos!BE18),((NºAsuntos!I18/NºAsuntos!G18)-Datos!BE18)/Datos!BE18," - ")</f>
        <v>-0.27611940298507465</v>
      </c>
      <c r="J18" s="856">
        <f>IF(ISNUMBER((('Resol  Asuntos'!D18/NºAsuntos!G18)-Datos!BF18)/Datos!BF18),(('Resol  Asuntos'!D18/NºAsuntos!G18)-Datos!BF18)/Datos!BF18," - ")</f>
        <v>-0.17268041237113402</v>
      </c>
      <c r="K18" s="856">
        <f>IF(ISNUMBER((((NºAsuntos!C18+NºAsuntos!E18)/NºAsuntos!G18)-Datos!BG18)/Datos!BG18),(((NºAsuntos!C18+NºAsuntos!E18)/NºAsuntos!G18)-Datos!BG18)/Datos!BG18," - ")</f>
        <v>-0.17074074074074072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0.24182034503271863</v>
      </c>
      <c r="C19" s="801">
        <f>IF(ISNUMBER(
   IF(J_V="SI",(Datos!J19-Datos!T19)/Datos!T19,(Datos!J19+Datos!Z19-(Datos!T19+Datos!AH19))/(Datos!T19+Datos!AH19))
     ),IF(J_V="SI",(Datos!J19-Datos!T19)/Datos!T19,(Datos!J19+Datos!Z19-(Datos!T19+Datos!AH19))/(Datos!T19+Datos!AH19))," - ")</f>
        <v>-5.8483754512635377E-2</v>
      </c>
      <c r="D19" s="801">
        <f>IF(ISNUMBER(
   IF(J_V="SI",(Datos!K19-Datos!U19)/Datos!U19,(Datos!K19+Datos!AA19-(Datos!U19+Datos!AI19))/(Datos!U19+Datos!AI19))
     ),IF(J_V="SI",(Datos!K19-Datos!U19)/Datos!U19,(Datos!K19+Datos!AA19-(Datos!U19+Datos!AI19))/(Datos!U19+Datos!AI19))," - ")</f>
        <v>0.19019607843137254</v>
      </c>
      <c r="E19" s="801">
        <f>IF(ISNUMBER(
   IF(J_V="SI",(Datos!L19-Datos!V19)/Datos!V19,(Datos!L19+Datos!AB19-(Datos!V19+Datos!AJ19))/(Datos!V19+Datos!AJ19))
     ),IF(J_V="SI",(Datos!L19-Datos!V19)/Datos!V19,(Datos!L19+Datos!AB19-(Datos!V19+Datos!AJ19))/(Datos!V19+Datos!AJ19))," - ")</f>
        <v>0.12905822377247117</v>
      </c>
      <c r="F19" s="802">
        <f>IF(ISNUMBER((Datos!M19-Datos!W19)/Datos!W19),(Datos!M19-Datos!W19)/Datos!W19," - ")</f>
        <v>4.9504950495049507E-2</v>
      </c>
      <c r="G19" s="803">
        <f>IF(ISNUMBER((Datos!N19-Datos!X19)/Datos!X19),(Datos!N19-Datos!X19)/Datos!X19," - ")</f>
        <v>0.17913043478260871</v>
      </c>
      <c r="H19" s="804">
        <f>IF(ISNUMBER((Tasas!B19-Datos!BD19)/Datos!BD19),(Tasas!B19-Datos!BD19)/Datos!BD19," - ")</f>
        <v>0.26412696980632733</v>
      </c>
      <c r="I19" s="805">
        <f>IF(ISNUMBER((Tasas!C19-Datos!BE19)/Datos!BE19),(Tasas!C19-Datos!BE19)/Datos!BE19," - ")</f>
        <v>-5.1367884474530029E-2</v>
      </c>
      <c r="J19" s="806">
        <f>IF(ISNUMBER((Tasas!D19-Datos!BF19)/Datos!BF19),(Tasas!D19-Datos!BF19)/Datos!BF19," - ")</f>
        <v>-0.34753878740699162</v>
      </c>
      <c r="K19" s="806">
        <f>IF(ISNUMBER((Tasas!E19-Datos!BG19)/Datos!BG19),(Tasas!E19-Datos!BG19)/Datos!BG19," - ")</f>
        <v>-3.024159193233647E-2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HeAZlKyIQjV2CR7Tif9CkmTzYH9K/ca5d8tKRHR4p4YhYRihJoOj1cZZfPxl/+BNkhezY4hdVSEWov0hp+36Q==" saltValue="WdS/x/5QRYU/WUXMd7Hg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COIN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0.81481481481481477</v>
      </c>
      <c r="C10" s="442">
        <f>IF(ISNUMBER(NºAsuntos!I10/NºAsuntos!G10),NºAsuntos!I10/NºAsuntos!G10," - ")</f>
        <v>1.2272727272727273</v>
      </c>
      <c r="D10" s="443">
        <f>IF(ISNUMBER('Resol  Asuntos'!D10/NºAsuntos!G10),'Resol  Asuntos'!D10/NºAsuntos!G10," - ")</f>
        <v>0.59090909090909094</v>
      </c>
      <c r="E10" s="444">
        <f>IF(ISNUMBER((NºAsuntos!C10+NºAsuntos!E10)/NºAsuntos!G10),(NºAsuntos!C10+NºAsuntos!E10)/NºAsuntos!G10," - ")</f>
        <v>2.2272727272727271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0.75409836065573765</v>
      </c>
      <c r="C12" s="442">
        <f>IF(ISNUMBER(NºAsuntos!I12/NºAsuntos!G12),NºAsuntos!I12/NºAsuntos!G12," - ")</f>
        <v>7.6711956521739131</v>
      </c>
      <c r="D12" s="443">
        <f>IF(ISNUMBER('Resol  Asuntos'!D12/NºAsuntos!G12),'Resol  Asuntos'!D12/NºAsuntos!G12," - ")</f>
        <v>0.25</v>
      </c>
      <c r="E12" s="444">
        <f>IF(ISNUMBER((NºAsuntos!C12+NºAsuntos!E12)/NºAsuntos!G12),(NºAsuntos!C12+NºAsuntos!E12)/NºAsuntos!G12," - ")</f>
        <v>8.6711956521739122</v>
      </c>
      <c r="G12" s="462"/>
    </row>
    <row r="13" spans="1:7" ht="14.25" thickTop="1" thickBot="1">
      <c r="A13" s="847" t="str">
        <f>Datos!A13</f>
        <v>TOTAL</v>
      </c>
      <c r="B13" s="857">
        <f>IF(ISNUMBER(NºAsuntos!G13/NºAsuntos!E13),NºAsuntos!G13/NºAsuntos!E13," - ")</f>
        <v>0.75728155339805825</v>
      </c>
      <c r="C13" s="858">
        <f>IF(ISNUMBER(NºAsuntos!I13/NºAsuntos!G13),NºAsuntos!I13/NºAsuntos!G13," - ")</f>
        <v>7.3076923076923075</v>
      </c>
      <c r="D13" s="859">
        <f>IF(ISNUMBER('Resol  Asuntos'!D13/NºAsuntos!G13),'Resol  Asuntos'!D13/NºAsuntos!G13," - ")</f>
        <v>0.26923076923076922</v>
      </c>
      <c r="E13" s="860">
        <f>IF(ISNUMBER((NºAsuntos!C13+NºAsuntos!E13)/NºAsuntos!G13),(NºAsuntos!C13+NºAsuntos!E13)/NºAsuntos!G13," - ")</f>
        <v>8.3076923076923084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1.0515603799185889</v>
      </c>
      <c r="C16" s="442">
        <f>IF(ISNUMBER(NºAsuntos!I16/NºAsuntos!G16),NºAsuntos!I16/NºAsuntos!G16," - ")</f>
        <v>1.68</v>
      </c>
      <c r="D16" s="443">
        <f>IF(ISNUMBER('Resol  Asuntos'!D16/NºAsuntos!G16),'Resol  Asuntos'!D16/NºAsuntos!G16," - ")</f>
        <v>0.12258064516129032</v>
      </c>
      <c r="E16" s="444">
        <f>IF(ISNUMBER((NºAsuntos!C16+NºAsuntos!E16)/NºAsuntos!G16),(NºAsuntos!C16+NºAsuntos!E16)/NºAsuntos!G16," - ")</f>
        <v>2.68</v>
      </c>
      <c r="G16" s="462"/>
    </row>
    <row r="17" spans="1:7" ht="21.75" thickBot="1">
      <c r="A17" s="401" t="str">
        <f>Datos!A17</f>
        <v>Jdos. Violencia contra la mujer/Secc Viol. TI.</v>
      </c>
      <c r="B17" s="441">
        <f>IF(ISNUMBER(NºAsuntos!G17/NºAsuntos!E17),NºAsuntos!G17/NºAsuntos!E17," - ")</f>
        <v>0.94230769230769229</v>
      </c>
      <c r="C17" s="442">
        <f>IF(ISNUMBER(NºAsuntos!I17/NºAsuntos!G17),NºAsuntos!I17/NºAsuntos!G17," - ")</f>
        <v>1.1428571428571428</v>
      </c>
      <c r="D17" s="443">
        <f>IF(ISNUMBER('Resol  Asuntos'!D17/NºAsuntos!G17),'Resol  Asuntos'!D17/NºAsuntos!G17," - ")</f>
        <v>0.24489795918367346</v>
      </c>
      <c r="E17" s="444">
        <f>IF(ISNUMBER((NºAsuntos!C17+NºAsuntos!E17)/NºAsuntos!G17),(NºAsuntos!C17+NºAsuntos!E17)/NºAsuntos!G17," - ")</f>
        <v>3.306122448979592</v>
      </c>
      <c r="G17" s="462"/>
    </row>
    <row r="18" spans="1:7" ht="14.25" thickTop="1" thickBot="1">
      <c r="A18" s="847" t="str">
        <f>Datos!A18</f>
        <v>TOTAL</v>
      </c>
      <c r="B18" s="857">
        <f>IF(ISNUMBER(NºAsuntos!G18/NºAsuntos!E18),NºAsuntos!G18/NºAsuntos!E18," - ")</f>
        <v>1.044359949302915</v>
      </c>
      <c r="C18" s="858">
        <f>IF(ISNUMBER(NºAsuntos!I18/NºAsuntos!G18),NºAsuntos!I18/NºAsuntos!G18," - ")</f>
        <v>1.6480582524271845</v>
      </c>
      <c r="D18" s="861">
        <f>IF(ISNUMBER('Resol  Asuntos'!D18/NºAsuntos!G18),'Resol  Asuntos'!D18/NºAsuntos!G18," - ")</f>
        <v>0.12985436893203883</v>
      </c>
      <c r="E18" s="860">
        <f>IF(ISNUMBER((NºAsuntos!C18+NºAsuntos!E18)/NºAsuntos!G18),(NºAsuntos!C18+NºAsuntos!E18)/NºAsuntos!G18," - ")</f>
        <v>2.717233009708738</v>
      </c>
      <c r="G18" s="462"/>
    </row>
    <row r="19" spans="1:7" ht="15.75" customHeight="1" thickTop="1" thickBot="1">
      <c r="A19" s="792" t="str">
        <f>Datos!A19</f>
        <v>TOTAL JURISDICCIONES</v>
      </c>
      <c r="B19" s="807">
        <f>IF(ISNUMBER(NºAsuntos!G19/NºAsuntos!E19),NºAsuntos!G19/NºAsuntos!E19," - ")</f>
        <v>0.93098159509202449</v>
      </c>
      <c r="C19" s="808">
        <f>IF(ISNUMBER(NºAsuntos!I19/NºAsuntos!G19),NºAsuntos!I19/NºAsuntos!G19," - ")</f>
        <v>3.4662273476112024</v>
      </c>
      <c r="D19" s="809">
        <f>IF(ISNUMBER('Resol  Asuntos'!D19/NºAsuntos!G19),'Resol  Asuntos'!D19/NºAsuntos!G19," - ")</f>
        <v>0.17462932454695224</v>
      </c>
      <c r="E19" s="810">
        <f>IF(ISNUMBER((NºAsuntos!C19+NºAsuntos!E19)/NºAsuntos!G19),(NºAsuntos!C19+NºAsuntos!E19)/NºAsuntos!G19," - ")</f>
        <v>4.5131795716639207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njLWHZ+xag5Kpd8gu64Fuwo0kIrKgRzfnNI0hfXf01IqU7z42bd0megl2D8v7gmyE6C2s/1Bfb79kRxtDqV9g==" saltValue="+TNpLmFzWESyncu73i1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COIN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27</v>
      </c>
      <c r="AB10" s="333">
        <f>IF(ISNUMBER(Datos!R10),Datos!R10," - ")</f>
        <v>2</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0.81481481481481477</v>
      </c>
      <c r="AM10" s="259">
        <f>IF(ISNUMBER(((NºAsuntos!I10/NºAsuntos!G10)*11)/factor_trimestre),((NºAsuntos!I10/NºAsuntos!G10)*11)/factor_trimestre," - ")</f>
        <v>3.6818181818181821</v>
      </c>
      <c r="AN10" s="243">
        <f>IF(ISNUMBER('Resol  Asuntos'!D10/NºAsuntos!G10),'Resol  Asuntos'!D10/NºAsuntos!G10," - ")</f>
        <v>0.59090909090909094</v>
      </c>
      <c r="AO10" s="244">
        <f>IF(ISNUMBER((NºAsuntos!C10+NºAsuntos!E10)/NºAsuntos!G10),(NºAsuntos!C10+NºAsuntos!E10)/NºAsuntos!G10," - ")</f>
        <v>2.2272727272727271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407</v>
      </c>
      <c r="Y12" s="333">
        <f t="shared" si="0"/>
        <v>407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0.75409836065573765</v>
      </c>
      <c r="AM12" s="259">
        <f>IF(ISNUMBER(((NºAsuntos!I12/NºAsuntos!G12)*11)/factor_trimestre),((NºAsuntos!I12/NºAsuntos!G12)*11)/factor_trimestre," - ")</f>
        <v>23.013586956521742</v>
      </c>
      <c r="AN12" s="243">
        <f>IF(ISNUMBER('Resol  Asuntos'!D12/NºAsuntos!G12),'Resol  Asuntos'!D12/NºAsuntos!G12," - ")</f>
        <v>0.25</v>
      </c>
      <c r="AO12" s="244">
        <f>IF(ISNUMBER((NºAsuntos!C12+NºAsuntos!E12)/NºAsuntos!G12),(NºAsuntos!C12+NºAsuntos!E12)/NºAsuntos!G12," - ")</f>
        <v>8.6711956521739122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22</v>
      </c>
      <c r="G13" s="865">
        <f t="shared" si="3"/>
        <v>22</v>
      </c>
      <c r="H13" s="864">
        <f t="shared" si="3"/>
        <v>0</v>
      </c>
      <c r="I13" s="866">
        <f t="shared" si="3"/>
        <v>0</v>
      </c>
      <c r="J13" s="866">
        <f t="shared" si="3"/>
        <v>0</v>
      </c>
      <c r="K13" s="866">
        <f t="shared" si="3"/>
        <v>0</v>
      </c>
      <c r="L13" s="866">
        <f t="shared" si="3"/>
        <v>117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407</v>
      </c>
      <c r="Y13" s="867">
        <f t="shared" si="4"/>
        <v>429</v>
      </c>
      <c r="Z13" s="867">
        <f t="shared" si="4"/>
        <v>0</v>
      </c>
      <c r="AA13" s="867">
        <f t="shared" si="4"/>
        <v>27</v>
      </c>
      <c r="AB13" s="867">
        <f t="shared" si="4"/>
        <v>1927</v>
      </c>
      <c r="AC13" s="867">
        <f t="shared" si="4"/>
        <v>29</v>
      </c>
      <c r="AD13" s="867">
        <f t="shared" si="4"/>
        <v>0</v>
      </c>
      <c r="AE13" s="871">
        <f t="shared" si="4"/>
        <v>0</v>
      </c>
      <c r="AF13" s="864">
        <f t="shared" si="4"/>
        <v>0</v>
      </c>
      <c r="AG13" s="872">
        <f t="shared" si="4"/>
        <v>0</v>
      </c>
      <c r="AH13" s="869">
        <f t="shared" si="4"/>
        <v>0</v>
      </c>
      <c r="AI13" s="864">
        <f t="shared" si="4"/>
        <v>105</v>
      </c>
      <c r="AJ13" s="866">
        <f t="shared" si="4"/>
        <v>0</v>
      </c>
      <c r="AK13" s="869">
        <f>SUBTOTAL(9,AK9:AK12)</f>
        <v>0</v>
      </c>
      <c r="AL13" s="873">
        <f>IF(ISNUMBER(NºAsuntos!G13/NºAsuntos!E13),NºAsuntos!G13/NºAsuntos!E13," - ")</f>
        <v>0.75728155339805825</v>
      </c>
      <c r="AM13" s="873">
        <f>IF(ISNUMBER(((NºAsuntos!I13/NºAsuntos!G13)*11)/factor_trimestre),((NºAsuntos!I13/NºAsuntos!G13)*11)/factor_trimestre," - ")</f>
        <v>21.923076923076923</v>
      </c>
      <c r="AN13" s="874">
        <f>IF(ISNUMBER('Resol  Asuntos'!D13/NºAsuntos!G13),'Resol  Asuntos'!D13/NºAsuntos!G13," - ")</f>
        <v>0.26923076923076922</v>
      </c>
      <c r="AO13" s="875">
        <f>IF(ISNUMBER((NºAsuntos!C13+NºAsuntos!E13)/NºAsuntos!G13),(NºAsuntos!C13+NºAsuntos!E13)/NºAsuntos!G13," - ")</f>
        <v>8.3076923076923084</v>
      </c>
      <c r="AP13" s="876" t="str">
        <f t="shared" si="2"/>
        <v xml:space="preserve"> - </v>
      </c>
      <c r="AQ13" s="876">
        <f>IF(ISNUMBER((H13-W13+K13)/(F13)),(H13-W13+K13)/(F13)," - ")</f>
        <v>-1</v>
      </c>
      <c r="AR13" s="877">
        <f>IF(ISNUMBER((Datos!P13-Datos!Q13)/(Datos!R13-Datos!P13+Datos!Q13)),(Datos!P13-Datos!Q13)/(Datos!R13-Datos!P13+Datos!Q13)," - ")</f>
        <v>-0.13080739738385205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1340</v>
      </c>
      <c r="G16" s="332">
        <f>IF(ISNUMBER(IF(D_I="SI",Datos!I16,Datos!I16+Datos!AC16)),IF(D_I="SI",Datos!I16,Datos!I16+Datos!AC16)," - ")</f>
        <v>1340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775</v>
      </c>
      <c r="X16" s="225">
        <f>IF(ISNUMBER(Datos!Q16),Datos!Q16," - ")</f>
        <v>20</v>
      </c>
      <c r="Y16" s="333">
        <f t="shared" ref="Y16:Y17" si="7">SUM(W16:X16)</f>
        <v>795</v>
      </c>
      <c r="Z16" s="334" t="str">
        <f>IF(ISNUMBER(Datos!CC16),Datos!CC16," - ")</f>
        <v xml:space="preserve"> - </v>
      </c>
      <c r="AA16" s="331">
        <f>IF(ISNUMBER(IF(D_I="SI",Datos!L16,Datos!L16+Datos!AF16)),IF(D_I="SI",Datos!L16,Datos!L16+Datos!AF16)," - ")</f>
        <v>1302</v>
      </c>
      <c r="AB16" s="333">
        <f>IF(ISNUMBER(Datos!R16),Datos!R16," - ")</f>
        <v>114</v>
      </c>
      <c r="AC16" s="333">
        <f t="shared" si="6"/>
        <v>1416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1.0515603799185889</v>
      </c>
      <c r="AM16" s="259">
        <f>IF(ISNUMBER(((NºAsuntos!I16/NºAsuntos!G16)*11)/factor_trimestre),((NºAsuntos!I16/NºAsuntos!G16)*11)/factor_trimestre," - ")</f>
        <v>5.04</v>
      </c>
      <c r="AN16" s="243">
        <f>IF(ISNUMBER('Resol  Asuntos'!D16/NºAsuntos!G16),'Resol  Asuntos'!D16/NºAsuntos!G16," - ")</f>
        <v>0.12258064516129032</v>
      </c>
      <c r="AO16" s="244">
        <f>IF(ISNUMBER((NºAsuntos!C16+NºAsuntos!E16)/NºAsuntos!G16),(NºAsuntos!C16+NºAsuntos!E16)/NºAsuntos!G16," - ")</f>
        <v>2.68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56</v>
      </c>
      <c r="AB17" s="333">
        <f>IF(ISNUMBER(Datos!R17),Datos!R17," - ")</f>
        <v>4</v>
      </c>
      <c r="AC17" s="333">
        <f t="shared" si="6"/>
        <v>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0.94230769230769229</v>
      </c>
      <c r="AM17" s="259">
        <f>IF(ISNUMBER(((NºAsuntos!I17/NºAsuntos!G17)*11)/factor_trimestre),((NºAsuntos!I17/NºAsuntos!G17)*11)/factor_trimestre," - ")</f>
        <v>3.4285714285714288</v>
      </c>
      <c r="AN17" s="243">
        <f>IF(ISNUMBER('Resol  Asuntos'!D17/NºAsuntos!G17),'Resol  Asuntos'!D17/NºAsuntos!G17," - ")</f>
        <v>0.24489795918367346</v>
      </c>
      <c r="AO17" s="244">
        <f>IF(ISNUMBER((NºAsuntos!C17+NºAsuntos!E17)/NºAsuntos!G17),(NºAsuntos!C17+NºAsuntos!E17)/NºAsuntos!G17," - ")</f>
        <v>3.306122448979592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1340</v>
      </c>
      <c r="G18" s="865">
        <f>SUBTOTAL(9,G15:G17)</f>
        <v>1450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824</v>
      </c>
      <c r="X18" s="866">
        <f t="shared" si="11"/>
        <v>20</v>
      </c>
      <c r="Y18" s="867">
        <f t="shared" si="11"/>
        <v>844</v>
      </c>
      <c r="Z18" s="867">
        <f t="shared" si="11"/>
        <v>0</v>
      </c>
      <c r="AA18" s="867">
        <f t="shared" si="11"/>
        <v>1358</v>
      </c>
      <c r="AB18" s="867">
        <f t="shared" si="11"/>
        <v>118</v>
      </c>
      <c r="AC18" s="867">
        <f t="shared" si="11"/>
        <v>1476</v>
      </c>
      <c r="AD18" s="867">
        <f t="shared" si="11"/>
        <v>0</v>
      </c>
      <c r="AE18" s="871">
        <f t="shared" si="11"/>
        <v>0</v>
      </c>
      <c r="AF18" s="864">
        <f t="shared" si="11"/>
        <v>0</v>
      </c>
      <c r="AG18" s="872">
        <f t="shared" si="11"/>
        <v>0</v>
      </c>
      <c r="AH18" s="869">
        <f t="shared" si="11"/>
        <v>0</v>
      </c>
      <c r="AI18" s="864">
        <f t="shared" si="11"/>
        <v>107</v>
      </c>
      <c r="AJ18" s="866">
        <f t="shared" si="11"/>
        <v>0</v>
      </c>
      <c r="AK18" s="869">
        <f t="shared" si="11"/>
        <v>0</v>
      </c>
      <c r="AL18" s="873">
        <f>IF(ISNUMBER(NºAsuntos!G18/NºAsuntos!E18),NºAsuntos!G18/NºAsuntos!E18," - ")</f>
        <v>1.044359949302915</v>
      </c>
      <c r="AM18" s="873">
        <f>IF(ISNUMBER(((NºAsuntos!I18/NºAsuntos!G18)*11)/factor_trimestre),((NºAsuntos!I18/NºAsuntos!G18)*11)/factor_trimestre," - ")</f>
        <v>4.9441747572815533</v>
      </c>
      <c r="AN18" s="874">
        <f>IF(ISNUMBER('Resol  Asuntos'!D18/NºAsuntos!G18),'Resol  Asuntos'!D18/NºAsuntos!G18," - ")</f>
        <v>0.12985436893203883</v>
      </c>
      <c r="AO18" s="875">
        <f>IF(ISNUMBER((NºAsuntos!C18+NºAsuntos!E18)/NºAsuntos!G18),(NºAsuntos!C18+NºAsuntos!E18)/NºAsuntos!G18," - ")</f>
        <v>2.717233009708738</v>
      </c>
      <c r="AP18" s="876" t="str">
        <f t="shared" si="2"/>
        <v xml:space="preserve"> - </v>
      </c>
      <c r="AQ18" s="876">
        <f>IF(ISNUMBER((H18-W18+K18)/(F18)),(H18-W18+K18)/(F18)," - ")</f>
        <v>-0.61492537313432838</v>
      </c>
      <c r="AR18" s="877">
        <f>IF(ISNUMBER((Datos!P18-Datos!Q18)/(Datos!R18-Datos!P18+Datos!Q18)),(Datos!P18-Datos!Q18)/(Datos!R18-Datos!P18+Datos!Q18)," - ")</f>
        <v>-0.11940298507462686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1362</v>
      </c>
      <c r="G19" s="820">
        <f t="shared" si="13"/>
        <v>1472</v>
      </c>
      <c r="H19" s="819">
        <f t="shared" si="13"/>
        <v>0</v>
      </c>
      <c r="I19" s="821">
        <f t="shared" si="13"/>
        <v>0</v>
      </c>
      <c r="J19" s="821">
        <f t="shared" si="13"/>
        <v>0</v>
      </c>
      <c r="K19" s="880">
        <f t="shared" si="13"/>
        <v>0</v>
      </c>
      <c r="L19" s="821">
        <f t="shared" si="13"/>
        <v>121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846</v>
      </c>
      <c r="X19" s="820">
        <f t="shared" si="14"/>
        <v>427</v>
      </c>
      <c r="Y19" s="827">
        <f t="shared" si="14"/>
        <v>1273</v>
      </c>
      <c r="Z19" s="827">
        <f t="shared" si="14"/>
        <v>0</v>
      </c>
      <c r="AA19" s="827">
        <f t="shared" si="14"/>
        <v>1385</v>
      </c>
      <c r="AB19" s="827">
        <f t="shared" si="14"/>
        <v>2045</v>
      </c>
      <c r="AC19" s="827">
        <f t="shared" si="14"/>
        <v>1505</v>
      </c>
      <c r="AD19" s="827">
        <f t="shared" si="14"/>
        <v>0</v>
      </c>
      <c r="AE19" s="829">
        <f t="shared" si="14"/>
        <v>0</v>
      </c>
      <c r="AF19" s="830">
        <f t="shared" si="14"/>
        <v>0</v>
      </c>
      <c r="AG19" s="831">
        <f t="shared" si="14"/>
        <v>0</v>
      </c>
      <c r="AH19" s="829">
        <f t="shared" si="14"/>
        <v>0</v>
      </c>
      <c r="AI19" s="819">
        <f t="shared" si="14"/>
        <v>212</v>
      </c>
      <c r="AJ19" s="819">
        <f t="shared" si="14"/>
        <v>0</v>
      </c>
      <c r="AK19" s="829">
        <f t="shared" si="14"/>
        <v>0</v>
      </c>
      <c r="AL19" s="883">
        <f>IF(ISNUMBER(NºAsuntos!G19/NºAsuntos!E19),NºAsuntos!G19/NºAsuntos!E19," - ")</f>
        <v>0.93098159509202449</v>
      </c>
      <c r="AM19" s="884">
        <f>IF(ISNUMBER(((NºAsuntos!I19/NºAsuntos!G19)*11)/factor_trimestre),((NºAsuntos!I19/NºAsuntos!G19)*11)/factor_trimestre," - ")</f>
        <v>10.398682042833608</v>
      </c>
      <c r="AN19" s="884">
        <f>IF(ISNUMBER('Resol  Asuntos'!D19/NºAsuntos!G19),'Resol  Asuntos'!D19/NºAsuntos!G19," - ")</f>
        <v>0.17462932454695224</v>
      </c>
      <c r="AO19" s="885">
        <f>IF(ISNUMBER((NºAsuntos!C19+NºAsuntos!E19)/NºAsuntos!G19),(NºAsuntos!C19+NºAsuntos!E19)/NºAsuntos!G19," - ")</f>
        <v>4.5131795716639207</v>
      </c>
      <c r="AP19" s="886" t="str">
        <f t="shared" si="2"/>
        <v xml:space="preserve"> - </v>
      </c>
      <c r="AQ19" s="887">
        <f>IF(OR(ISNUMBER(FIND("01",Criterios!A8,1)),ISNUMBER(FIND("02",Criterios!A8,1)),ISNUMBER(FIND("03",Criterios!A8,1)),ISNUMBER(FIND("04",Criterios!A8,1))),(I19-W19+K19)/(F19-K19),(H19-W19+K19)/(F19-K19))</f>
        <v>-0.62114537444933926</v>
      </c>
      <c r="AR19" s="888">
        <f>IF(ISNUMBER((Datos!P19-Datos!Q19)/(Datos!R19-Datos!P19+Datos!Q19)),(Datos!P19-Datos!Q19)/(Datos!R19-Datos!P19+Datos!Q19)," - ")</f>
        <v>-0.13015737983836664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588.79999999999995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760.94765479192677</v>
      </c>
      <c r="G21" s="252">
        <f>IF(ISNUMBER(STDEV(G8:G18)),STDEV(G8:G18),"-")</f>
        <v>737.85852302456999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421.42531960004487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45.41659021400293</v>
      </c>
      <c r="AJ21" s="251">
        <f t="shared" si="18"/>
        <v>0</v>
      </c>
      <c r="AK21" s="253">
        <f t="shared" si="18"/>
        <v>0</v>
      </c>
      <c r="AL21" s="248">
        <f t="shared" si="18"/>
        <v>0.13733294354197442</v>
      </c>
      <c r="AM21" s="249">
        <f t="shared" si="18"/>
        <v>9.4243474532550859</v>
      </c>
      <c r="AN21" s="249">
        <f t="shared" si="18"/>
        <v>0.17050540044347662</v>
      </c>
      <c r="AO21" s="250">
        <f t="shared" si="18"/>
        <v>2.9946891306740997</v>
      </c>
      <c r="AP21" s="290" t="str">
        <f t="shared" si="18"/>
        <v>-</v>
      </c>
      <c r="AQ21" s="291">
        <f t="shared" si="18"/>
        <v>0.27228887991959611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DWebWzA/8Jgting7NiBMAYy/eArUoZLg2mMRUNP1SrG8hfnKPlnIUFW6OMBpCvH1vyt/P+CIMCgbHTjqRSEvw==" saltValue="n58mIm72u5MFALP94lfr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COIN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3.8461538461538464E-2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-0.12380952380952381</v>
      </c>
      <c r="I12" s="349">
        <f>IF(ISNUMBER((Tasas!C12-Datos!BE12)/Datos!BE12),(Tasas!C12-Datos!BE12)/Datos!BE12," - ")</f>
        <v>0.34429845343239451</v>
      </c>
      <c r="J12" s="348">
        <f>IF(ISNUMBER((Tasas!D12-Datos!BF12)/Datos!BF12),(Tasas!D12-Datos!BF12)/Datos!BF12," - ")</f>
        <v>-0.42897727272727271</v>
      </c>
      <c r="K12" s="350">
        <f>IF(ISNUMBER((Tasas!E12-Datos!BG12)/Datos!BG12),(Tasas!E12-Datos!BG12)/Datos!BG12," - ")</f>
        <v>0.29296018255708928</v>
      </c>
      <c r="M12" t="e">
        <f>IF(Monitorios="SI",Datos!CE12,0)</f>
        <v>#REF!</v>
      </c>
      <c r="N12" t="e">
        <f>IF(Monitorios="SI",Datos!CF12,0)</f>
        <v>#REF!</v>
      </c>
      <c r="O12" t="e">
        <f>IF(Monitorios="SI",Datos!CG12,0)</f>
        <v>#REF!</v>
      </c>
      <c r="P12" t="e">
        <f>IF(Monitorios="SI",Datos!CH12,0)</f>
        <v>#REF!</v>
      </c>
      <c r="Q12">
        <f>IF(J_V="SI",0,Datos!AG12)</f>
        <v>27</v>
      </c>
      <c r="R12">
        <f>IF(J_V="SI",0,Datos!AH12)</f>
        <v>45</v>
      </c>
      <c r="S12">
        <f>IF(J_V="SI",0,Datos!AI12)</f>
        <v>33</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0.26624668435013249</v>
      </c>
      <c r="J13" s="354">
        <f>IF(ISNUMBER((Tasas!D13-Datos!BF13)/Datos!BF13),(Tasas!D13-Datos!BF13)/Datos!BF13," - ")</f>
        <v>-0.38505244755244761</v>
      </c>
      <c r="K13" s="357">
        <f>IF(ISNUMBER((Tasas!E13-Datos!BG13)/Datos!BG13),(Tasas!E13-Datos!BG13)/Datos!BG13," - ")</f>
        <v>0.2269259028994518</v>
      </c>
      <c r="M13" t="e">
        <f>IF(Monitorios="SI",Datos!CE13,0)</f>
        <v>#REF!</v>
      </c>
      <c r="N13" t="e">
        <f>IF(Monitorios="SI",Datos!CF13,0)</f>
        <v>#REF!</v>
      </c>
      <c r="O13" t="e">
        <f>IF(Monitorios="SI",Datos!CG13,0)</f>
        <v>#REF!</v>
      </c>
      <c r="P13" t="e">
        <f>IF(Monitorios="SI",Datos!CH13,0)</f>
        <v>#REF!</v>
      </c>
      <c r="Q13">
        <f>IF(J_V="SI",0,Datos!AG13)</f>
        <v>27</v>
      </c>
      <c r="R13">
        <f>IF(J_V="SI",0,Datos!AH13)</f>
        <v>45</v>
      </c>
      <c r="S13">
        <f>IF(J_V="SI",0,Datos!AI13)</f>
        <v>33</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0.13655640373197625</v>
      </c>
      <c r="E16" s="347">
        <f>IF(ISNUMBER(
   IF(D_I="SI",(Datos!J16-Datos!T16)/Datos!T16,(Datos!J16+Datos!AD16-(Datos!T16+Datos!AL16))/(Datos!T16+Datos!AL16))
     ),IF(D_I="SI",(Datos!J16-Datos!T16)/Datos!T16,(Datos!J16+Datos!AD16-(Datos!T16+Datos!AL16))/(Datos!T16+Datos!AL16))," - ")</f>
        <v>0.10164424514200299</v>
      </c>
      <c r="F16" s="347">
        <f>IF(ISNUMBER(
   IF(D_I="SI",(Datos!K16-Datos!U16)/Datos!U16,(Datos!K16+Datos!AE16-(Datos!U16+Datos!AM16))/(Datos!U16+Datos!AM16))
     ),IF(D_I="SI",(Datos!K16-Datos!U16)/Datos!U16,(Datos!K16+Datos!AE16-(Datos!U16+Datos!AM16))/(Datos!U16+Datos!AM16))," - ")</f>
        <v>0.43784786641929502</v>
      </c>
      <c r="G16" s="348">
        <f>IF(ISNUMBER(
   IF(D_I="SI",(Datos!L16-Datos!V16)/Datos!V16,(Datos!L16+Datos!AF16-(Datos!V16+Datos!AN16))/(Datos!V16+Datos!AN16))
     ),IF(D_I="SI",(Datos!L16-Datos!V16)/Datos!V16,(Datos!L16+Datos!AF16-(Datos!V16+Datos!AN16))/(Datos!V16+Datos!AN16))," - ")</f>
        <v>-5.3475935828877002E-3</v>
      </c>
      <c r="H16" s="229">
        <f>IF(ISNUMBER((Datos!M16-Datos!W16)/Datos!W16),(Datos!M16-Datos!W16)/Datos!W16," - ")</f>
        <v>0.15853658536585366</v>
      </c>
      <c r="I16" s="349">
        <f>IF(ISNUMBER((Tasas!C16-Datos!BE16)/Datos!BE16),(Tasas!C16-Datos!BE16)/Datos!BE16," - ")</f>
        <v>-0.30823529411764705</v>
      </c>
      <c r="J16" s="348">
        <f>IF(ISNUMBER((Tasas!D16-Datos!BF16)/Datos!BF16),(Tasas!D16-Datos!BF16)/Datos!BF16," - ")</f>
        <v>-0.19425649095200626</v>
      </c>
      <c r="K16" s="350">
        <f>IF(ISNUMBER((Tasas!E16-Datos!BG16)/Datos!BG16),(Tasas!E16-Datos!BG16)/Datos!BG16," - ")</f>
        <v>-0.21833333333333324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2.8037383177570093E-2</v>
      </c>
      <c r="E17" s="347">
        <f>IF(ISNUMBER(
   IF(D_I="SI",(Datos!J17-Datos!T17)/Datos!T17,(Datos!J17+Datos!AD17-(Datos!T17+Datos!AL17))/(Datos!T17+Datos!AL17))
     ),IF(D_I="SI",(Datos!J17-Datos!T17)/Datos!T17,(Datos!J17+Datos!AD17-(Datos!T17+Datos!AL17))/(Datos!T17+Datos!AL17))," - ")</f>
        <v>-0.25714285714285712</v>
      </c>
      <c r="F17" s="347">
        <f>IF(ISNUMBER(
   IF(D_I="SI",(Datos!K17-Datos!U17)/Datos!U17,(Datos!K17+Datos!AE17-(Datos!U17+Datos!AM17))/(Datos!U17+Datos!AM17))
     ),IF(D_I="SI",(Datos!K17-Datos!U17)/Datos!U17,(Datos!K17+Datos!AE17-(Datos!U17+Datos!AM17))/(Datos!U17+Datos!AM17))," - ")</f>
        <v>-0.379746835443038</v>
      </c>
      <c r="G17" s="348">
        <f>IF(ISNUMBER(
   IF(D_I="SI",(Datos!L17-Datos!V17)/Datos!V17,(Datos!L17+Datos!AF17-(Datos!V17+Datos!AN17))/(Datos!V17+Datos!AN17))
     ),IF(D_I="SI",(Datos!L17-Datos!V17)/Datos!V17,(Datos!L17+Datos!AF17-(Datos!V17+Datos!AN17))/(Datos!V17+Datos!AN17))," - ")</f>
        <v>-0.42857142857142855</v>
      </c>
      <c r="H17" s="229">
        <f>IF(ISNUMBER((Datos!M17-Datos!W17)/Datos!W17),(Datos!M17-Datos!W17)/Datos!W17," - ")</f>
        <v>-0.2</v>
      </c>
      <c r="I17" s="349">
        <f>IF(ISNUMBER((Tasas!C17-Datos!BE17)/Datos!BE17),(Tasas!C17-Datos!BE17)/Datos!BE17," - ")</f>
        <v>-7.8717201166180778E-2</v>
      </c>
      <c r="J17" s="348">
        <f>IF(ISNUMBER((Tasas!D17-Datos!BF17)/Datos!BF17),(Tasas!D17-Datos!BF17)/Datos!BF17," - ")</f>
        <v>0.28979591836734681</v>
      </c>
      <c r="K17" s="350">
        <f>IF(ISNUMBER((Tasas!E17-Datos!BG17)/Datos!BG17),(Tasas!E17-Datos!BG17)/Datos!BG17," - ")</f>
        <v>0.47561397440332076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0.12752721617418353</v>
      </c>
      <c r="E18" s="353">
        <f>IF(ISNUMBER(
   IF(D_I="SI",(Datos!J18-Datos!T18)/Datos!T18,(Datos!J18+Datos!AD18-(Datos!T18+Datos!AL18))/(Datos!T18+Datos!AL18))
     ),IF(D_I="SI",(Datos!J18-Datos!T18)/Datos!T18,(Datos!J18+Datos!AD18-(Datos!T18+Datos!AL18))/(Datos!T18+Datos!AL18))," - ")</f>
        <v>6.7658998646820026E-2</v>
      </c>
      <c r="F18" s="353">
        <f>IF(ISNUMBER(
   IF(D_I="SI",(Datos!K18-Datos!U18)/Datos!U18,(Datos!K18+Datos!AE18-(Datos!U18+Datos!AM18))/(Datos!U18+Datos!AM18))
     ),IF(D_I="SI",(Datos!K18-Datos!U18)/Datos!U18,(Datos!K18+Datos!AE18-(Datos!U18+Datos!AM18))/(Datos!U18+Datos!AM18))," - ")</f>
        <v>0.33333333333333331</v>
      </c>
      <c r="G18" s="354">
        <f>IF(ISNUMBER(
   IF(D_I="SI",(Datos!L18-Datos!V18)/Datos!V18,(Datos!L18+Datos!AF18-(Datos!V18+Datos!AN18))/(Datos!V18+Datos!AN18))
     ),IF(D_I="SI",(Datos!L18-Datos!V18)/Datos!V18,(Datos!L18+Datos!AF18-(Datos!V18+Datos!AN18))/(Datos!V18+Datos!AN18))," - ")</f>
        <v>-3.482587064676617E-2</v>
      </c>
      <c r="H18" s="355">
        <f>IF(ISNUMBER((Datos!M18-Datos!W18)/Datos!W18),(Datos!M18-Datos!W18)/Datos!W18," - ")</f>
        <v>0.10309278350515463</v>
      </c>
      <c r="I18" s="356">
        <f>IF(ISNUMBER((Tasas!C18-Datos!BE18)/Datos!BE18),(Tasas!C18-Datos!BE18)/Datos!BE18," - ")</f>
        <v>-0.27611940298507465</v>
      </c>
      <c r="J18" s="354">
        <f>IF(ISNUMBER((Tasas!D18-Datos!BF18)/Datos!BF18),(Tasas!D18-Datos!BF18)/Datos!BF18," - ")</f>
        <v>-0.17268041237113402</v>
      </c>
      <c r="K18" s="357">
        <f>IF(ISNUMBER((Tasas!E18-Datos!BG18)/Datos!BG18),(Tasas!E18-Datos!BG18)/Datos!BG18," - ")</f>
        <v>-0.17074074074074072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0.24182034503271863</v>
      </c>
      <c r="E19" s="362">
        <f>IF(ISNUMBER(
   IF(J_V="SI",(Datos!J19-Datos!T19)/Datos!T19,(Datos!J19+Datos!Z19-(Datos!T19+Datos!AH19))/(Datos!T19+Datos!AH19))
     ),IF(J_V="SI",(Datos!J19-Datos!T19)/Datos!T19,(Datos!J19+Datos!Z19-(Datos!T19+Datos!AH19))/(Datos!T19+Datos!AH19))," - ")</f>
        <v>-5.8483754512635377E-2</v>
      </c>
      <c r="F19" s="362">
        <f>IF(ISNUMBER(
   IF(J_V="SI",(Datos!K19-Datos!U19)/Datos!U19,(Datos!K19+Datos!AA19-(Datos!U19+Datos!AI19))/(Datos!U19+Datos!AI19))
     ),IF(J_V="SI",(Datos!K19-Datos!U19)/Datos!U19,(Datos!K19+Datos!AA19-(Datos!U19+Datos!AI19))/(Datos!U19+Datos!AI19))," - ")</f>
        <v>0.19019607843137254</v>
      </c>
      <c r="G19" s="363">
        <f>IF(ISNUMBER(
   IF(J_V="SI",(Datos!L19-Datos!V19)/Datos!V19,(Datos!L19+Datos!AB19-(Datos!V19+Datos!AJ19))/(Datos!V19+Datos!AJ19))
     ),IF(J_V="SI",(Datos!L19-Datos!V19)/Datos!V19,(Datos!L19+Datos!AB19-(Datos!V19+Datos!AJ19))/(Datos!V19+Datos!AJ19))," - ")</f>
        <v>0.12905822377247117</v>
      </c>
      <c r="H19" s="364">
        <f>IF(ISNUMBER((Datos!M19-Datos!W19)/Datos!W19),(Datos!M19-Datos!W19)/Datos!W19," - ")</f>
        <v>4.9504950495049507E-2</v>
      </c>
      <c r="I19" s="361">
        <f>IF(ISNUMBER((Tasas!C19-Datos!BE19)/Datos!BE19),(Tasas!C19-Datos!BE19)/Datos!BE19," - ")</f>
        <v>-5.1367884474530029E-2</v>
      </c>
      <c r="J19" s="362">
        <f>IF(ISNUMBER((Tasas!D19-Datos!BF19)/Datos!BF19),(Tasas!D19-Datos!BF19)/Datos!BF19," - ")</f>
        <v>-0.34753878740699162</v>
      </c>
      <c r="K19" s="363">
        <f>IF(ISNUMBER((Tasas!E19-Datos!BG19)/Datos!BG19),(Tasas!E19-Datos!BG19)/Datos!BG19," - ")</f>
        <v>-3.024159193233647E-2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0.13488957544491614</v>
      </c>
      <c r="E21" s="277">
        <f t="shared" si="1"/>
        <v>0.19806540471509371</v>
      </c>
      <c r="F21" s="277">
        <f t="shared" si="1"/>
        <v>0.44494713379637812</v>
      </c>
      <c r="G21" s="278">
        <f t="shared" si="1"/>
        <v>0.21610819519906699</v>
      </c>
      <c r="H21" s="284">
        <f t="shared" si="1"/>
        <v>0.1502643460394138</v>
      </c>
      <c r="I21" s="276">
        <f t="shared" si="1"/>
        <v>0.30262362302619511</v>
      </c>
      <c r="J21" s="277">
        <f t="shared" si="1"/>
        <v>0.28503755283501347</v>
      </c>
      <c r="K21" s="278">
        <f t="shared" si="1"/>
        <v>0.30282050639125546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arAPS4kW/rcZlsuGMa+FVyhmOiSRoE1Ypn/hCebKdQFIbF7IsTO6UHMaEb406VtBxP5LpxKyf244Cu5zIkZ1Q==" saltValue="ZeWRpyl9K6bS8ryn9SNQ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